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jnic\Dropbox\Willaston Memorial Hall\Accounts\"/>
    </mc:Choice>
  </mc:AlternateContent>
  <xr:revisionPtr revIDLastSave="0" documentId="13_ncr:1_{A87AE44D-9837-41FB-A312-4EF1E34B2AE6}" xr6:coauthVersionLast="47" xr6:coauthVersionMax="47" xr10:uidLastSave="{00000000-0000-0000-0000-000000000000}"/>
  <bookViews>
    <workbookView xWindow="-110" yWindow="-110" windowWidth="25820" windowHeight="15500" tabRatio="623" activeTab="4" xr2:uid="{00000000-000D-0000-FFFF-FFFF00000000}"/>
  </bookViews>
  <sheets>
    <sheet name="Budget 2023" sheetId="27" r:id="rId1"/>
    <sheet name="ACCOUNTS 23" sheetId="29" r:id="rId2"/>
    <sheet name="CASH BOOK 2023" sheetId="28" r:id="rId3"/>
    <sheet name="CASHFLOW 2023" sheetId="30" r:id="rId4"/>
    <sheet name="ACCOUNTS 22" sheetId="26" r:id="rId5"/>
    <sheet name="Budget 2022" sheetId="23" r:id="rId6"/>
    <sheet name="CASH BOOK 2022" sheetId="24" r:id="rId7"/>
    <sheet name="CASHFLOW 2022" sheetId="25" r:id="rId8"/>
    <sheet name="ACCOUNTS 21" sheetId="1" r:id="rId9"/>
    <sheet name="CASH BOOK 2021" sheetId="19" r:id="rId10"/>
    <sheet name="CASHFLOW 2021" sheetId="20" r:id="rId11"/>
    <sheet name="Budget 2021" sheetId="21" r:id="rId12"/>
    <sheet name="CASH BOOK 2020" sheetId="17" r:id="rId13"/>
    <sheet name="CASHFLOW 2020" sheetId="18" r:id="rId14"/>
    <sheet name="CASH BOOK 2019" sheetId="15" r:id="rId15"/>
    <sheet name="CASHFLOW 2019" sheetId="16" r:id="rId16"/>
    <sheet name="INDEX" sheetId="9" r:id="rId17"/>
    <sheet name="CASH BOOK 2018" sheetId="13" r:id="rId18"/>
    <sheet name="CASHFLOW 2018" sheetId="14" r:id="rId19"/>
    <sheet name="CASHFLOW 2017" sheetId="3" r:id="rId20"/>
    <sheet name="CASH BOOK 2017" sheetId="6" r:id="rId21"/>
  </sheets>
  <definedNames>
    <definedName name="_xlnm._FilterDatabase" localSheetId="6" hidden="1">'CASH BOOK 2022'!$A$45:$Y$382</definedName>
    <definedName name="_xlnm._FilterDatabase" localSheetId="2" hidden="1">'CASH BOOK 2023'!$A$39:$Y$319</definedName>
    <definedName name="_xlnm.Print_Area" localSheetId="8">'ACCOUNTS 21'!$A$1:$M$78</definedName>
    <definedName name="_xlnm.Print_Area" localSheetId="4">'ACCOUNTS 22'!$B$1:$L$68</definedName>
    <definedName name="_xlnm.Print_Area" localSheetId="1">'ACCOUNTS 23'!$A$1:$N$67</definedName>
    <definedName name="_xlnm.Print_Area" localSheetId="20">'CASH BOOK 2017'!$A$239:$L$305</definedName>
    <definedName name="_xlnm.Print_Area" localSheetId="17">'CASH BOOK 2018'!$A$217:$M$264</definedName>
    <definedName name="_xlnm.Print_Area" localSheetId="14">'CASH BOOK 2019'!$A$118:$M$191</definedName>
    <definedName name="_xlnm.Print_Area" localSheetId="12">'CASH BOOK 2020'!$A$132:$M$191</definedName>
    <definedName name="_xlnm.Print_Area" localSheetId="9">'CASH BOOK 2021'!$B$2:$T$377</definedName>
    <definedName name="_xlnm.Print_Area" localSheetId="6">'CASH BOOK 2022'!$A$40:$N$194</definedName>
    <definedName name="_xlnm.Print_Area" localSheetId="2">'CASH BOOK 2023'!$A$34:$N$45</definedName>
    <definedName name="_xlnm.Print_Area" localSheetId="19">'CASHFLOW 2017'!$A:$P</definedName>
    <definedName name="_xlnm.Print_Area" localSheetId="18">'CASHFLOW 2018'!$A$1:$Q$44</definedName>
    <definedName name="_xlnm.Print_Area" localSheetId="15">'CASHFLOW 2019'!$A$1:$Q$44</definedName>
    <definedName name="_xlnm.Print_Area" localSheetId="13">'CASHFLOW 2020'!$A$1:$Q$46</definedName>
    <definedName name="_xlnm.Print_Area" localSheetId="10">'CASHFLOW 2021'!$A$1:$Q$46</definedName>
    <definedName name="_xlnm.Print_Area" localSheetId="7">'CASHFLOW 2022'!$A$1:$Q$46</definedName>
    <definedName name="_xlnm.Print_Area" localSheetId="3">'CASHFLOW 2023'!$A$1:$Q$47</definedName>
    <definedName name="_xlnm.Print_Area" localSheetId="16">INDEX!$A$4:$F$25</definedName>
    <definedName name="_xlnm.Print_Titles" localSheetId="20">'CASH BOOK 2017'!$1:$1</definedName>
    <definedName name="_xlnm.Print_Titles" localSheetId="17">'CASH BOOK 2018'!$1:$1</definedName>
    <definedName name="_xlnm.Print_Titles" localSheetId="14">'CASH BOOK 2019'!$1:$1</definedName>
    <definedName name="_xlnm.Print_Titles" localSheetId="12">'CASH BOOK 2020'!$1:$1</definedName>
    <definedName name="_xlnm.Print_Titles" localSheetId="9">'CASH BOOK 2021'!$1:$1</definedName>
    <definedName name="_xlnm.Print_Titles" localSheetId="6">'CASH BOOK 2022'!$1:$1</definedName>
    <definedName name="_xlnm.Print_Titles" localSheetId="2">'CASH BOOK 2023'!$1:$1</definedName>
  </definedNames>
  <calcPr calcId="181029" concurrentCalc="0"/>
</workbook>
</file>

<file path=xl/calcChain.xml><?xml version="1.0" encoding="utf-8"?>
<calcChain xmlns="http://schemas.openxmlformats.org/spreadsheetml/2006/main">
  <c r="H331" i="28" l="1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I11" i="29"/>
  <c r="H353" i="28"/>
  <c r="H352" i="28"/>
  <c r="M283" i="28"/>
  <c r="U297" i="28"/>
  <c r="U299" i="28"/>
  <c r="L286" i="28"/>
  <c r="L285" i="28"/>
  <c r="L283" i="28"/>
  <c r="L284" i="28"/>
  <c r="M284" i="28"/>
  <c r="M285" i="28"/>
  <c r="M286" i="28"/>
  <c r="L287" i="28"/>
  <c r="M287" i="28"/>
  <c r="L288" i="28"/>
  <c r="M288" i="28"/>
  <c r="L289" i="28"/>
  <c r="M289" i="28"/>
  <c r="L290" i="28"/>
  <c r="M290" i="28"/>
  <c r="L291" i="28"/>
  <c r="M291" i="28"/>
  <c r="L292" i="28"/>
  <c r="M292" i="28"/>
  <c r="L293" i="28"/>
  <c r="M293" i="28"/>
  <c r="L294" i="28"/>
  <c r="M294" i="28"/>
  <c r="L295" i="28"/>
  <c r="M295" i="28"/>
  <c r="L296" i="28"/>
  <c r="M296" i="28"/>
  <c r="L297" i="28"/>
  <c r="M297" i="28"/>
  <c r="L298" i="28"/>
  <c r="M298" i="28"/>
  <c r="L299" i="28"/>
  <c r="M299" i="28"/>
  <c r="L300" i="28"/>
  <c r="M300" i="28"/>
  <c r="L301" i="28"/>
  <c r="M301" i="28"/>
  <c r="L302" i="28"/>
  <c r="M302" i="28"/>
  <c r="L303" i="28"/>
  <c r="M303" i="28"/>
  <c r="L304" i="28"/>
  <c r="M304" i="28"/>
  <c r="L305" i="28"/>
  <c r="M305" i="28"/>
  <c r="U300" i="28"/>
  <c r="L47" i="28"/>
  <c r="L48" i="28"/>
  <c r="L49" i="28"/>
  <c r="L50" i="28"/>
  <c r="L40" i="28"/>
  <c r="L41" i="28"/>
  <c r="L42" i="28"/>
  <c r="L43" i="28"/>
  <c r="L44" i="28"/>
  <c r="L45" i="28"/>
  <c r="L46" i="28"/>
  <c r="L51" i="28"/>
  <c r="L52" i="28"/>
  <c r="L53" i="28"/>
  <c r="L54" i="28"/>
  <c r="L55" i="28"/>
  <c r="L56" i="28"/>
  <c r="L57" i="28"/>
  <c r="L58" i="28"/>
  <c r="L59" i="28"/>
  <c r="L60" i="28"/>
  <c r="L61" i="28"/>
  <c r="L62" i="28"/>
  <c r="L63" i="28"/>
  <c r="L64" i="28"/>
  <c r="L65" i="28"/>
  <c r="L66" i="28"/>
  <c r="L67" i="28"/>
  <c r="L68" i="28"/>
  <c r="L69" i="28"/>
  <c r="L70" i="28"/>
  <c r="L71" i="28"/>
  <c r="L72" i="28"/>
  <c r="L73" i="28"/>
  <c r="I74" i="28"/>
  <c r="L74" i="28"/>
  <c r="L75" i="28"/>
  <c r="L76" i="28"/>
  <c r="L77" i="28"/>
  <c r="L78" i="28"/>
  <c r="L79" i="28"/>
  <c r="L80" i="28"/>
  <c r="L81" i="28"/>
  <c r="L82" i="28"/>
  <c r="L83" i="28"/>
  <c r="L84" i="28"/>
  <c r="L85" i="28"/>
  <c r="L86" i="28"/>
  <c r="L87" i="28"/>
  <c r="L88" i="28"/>
  <c r="L89" i="28"/>
  <c r="L90" i="28"/>
  <c r="L91" i="28"/>
  <c r="K92" i="28"/>
  <c r="L92" i="28"/>
  <c r="L93" i="28"/>
  <c r="L94" i="28"/>
  <c r="L95" i="28"/>
  <c r="L96" i="28"/>
  <c r="L97" i="28"/>
  <c r="I98" i="28"/>
  <c r="L98" i="28"/>
  <c r="L99" i="28"/>
  <c r="L100" i="28"/>
  <c r="L101" i="28"/>
  <c r="L102" i="28"/>
  <c r="L103" i="28"/>
  <c r="L104" i="28"/>
  <c r="L105" i="28"/>
  <c r="L106" i="28"/>
  <c r="L107" i="28"/>
  <c r="L108" i="28"/>
  <c r="L109" i="28"/>
  <c r="L110" i="28"/>
  <c r="L111" i="28"/>
  <c r="L112" i="28"/>
  <c r="L113" i="28"/>
  <c r="K114" i="28"/>
  <c r="L114" i="28"/>
  <c r="L115" i="28"/>
  <c r="L116" i="28"/>
  <c r="L117" i="28"/>
  <c r="L118" i="28"/>
  <c r="L119" i="28"/>
  <c r="L120" i="28"/>
  <c r="L121" i="28"/>
  <c r="L122" i="28"/>
  <c r="L123" i="28"/>
  <c r="L124" i="28"/>
  <c r="L125" i="28"/>
  <c r="L126" i="28"/>
  <c r="K127" i="28"/>
  <c r="L127" i="28"/>
  <c r="L128" i="28"/>
  <c r="L129" i="28"/>
  <c r="L130" i="28"/>
  <c r="L131" i="28"/>
  <c r="L132" i="28"/>
  <c r="L133" i="28"/>
  <c r="L134" i="28"/>
  <c r="L135" i="28"/>
  <c r="L136" i="28"/>
  <c r="L137" i="28"/>
  <c r="L138" i="28"/>
  <c r="L139" i="28"/>
  <c r="L140" i="28"/>
  <c r="L141" i="28"/>
  <c r="L142" i="28"/>
  <c r="L143" i="28"/>
  <c r="L144" i="28"/>
  <c r="L145" i="28"/>
  <c r="L146" i="28"/>
  <c r="L147" i="28"/>
  <c r="L148" i="28"/>
  <c r="L149" i="28"/>
  <c r="L150" i="28"/>
  <c r="L151" i="28"/>
  <c r="L152" i="28"/>
  <c r="L153" i="28"/>
  <c r="L154" i="28"/>
  <c r="L155" i="28"/>
  <c r="L156" i="28"/>
  <c r="L157" i="28"/>
  <c r="L158" i="28"/>
  <c r="L159" i="28"/>
  <c r="L160" i="28"/>
  <c r="L161" i="28"/>
  <c r="L162" i="28"/>
  <c r="L163" i="28"/>
  <c r="L164" i="28"/>
  <c r="L165" i="28"/>
  <c r="L166" i="28"/>
  <c r="L167" i="28"/>
  <c r="L168" i="28"/>
  <c r="L169" i="28"/>
  <c r="L170" i="28"/>
  <c r="L171" i="28"/>
  <c r="L172" i="28"/>
  <c r="L173" i="28"/>
  <c r="L174" i="28"/>
  <c r="L175" i="28"/>
  <c r="L176" i="28"/>
  <c r="L177" i="28"/>
  <c r="L178" i="28"/>
  <c r="L179" i="28"/>
  <c r="L180" i="28"/>
  <c r="L181" i="28"/>
  <c r="L182" i="28"/>
  <c r="L183" i="28"/>
  <c r="L184" i="28"/>
  <c r="L185" i="28"/>
  <c r="L186" i="28"/>
  <c r="I187" i="28"/>
  <c r="L187" i="28"/>
  <c r="L188" i="28"/>
  <c r="L189" i="28"/>
  <c r="L190" i="28"/>
  <c r="L191" i="28"/>
  <c r="L192" i="28"/>
  <c r="L193" i="28"/>
  <c r="L194" i="28"/>
  <c r="L195" i="28"/>
  <c r="L196" i="28"/>
  <c r="L197" i="28"/>
  <c r="L198" i="28"/>
  <c r="L199" i="28"/>
  <c r="L200" i="28"/>
  <c r="L201" i="28"/>
  <c r="L202" i="28"/>
  <c r="L203" i="28"/>
  <c r="L204" i="28"/>
  <c r="L205" i="28"/>
  <c r="L206" i="28"/>
  <c r="L207" i="28"/>
  <c r="L208" i="28"/>
  <c r="L209" i="28"/>
  <c r="I210" i="28"/>
  <c r="L210" i="28"/>
  <c r="L211" i="28"/>
  <c r="L212" i="28"/>
  <c r="L213" i="28"/>
  <c r="L214" i="28"/>
  <c r="I215" i="28"/>
  <c r="L215" i="28"/>
  <c r="L216" i="28"/>
  <c r="L217" i="28"/>
  <c r="L218" i="28"/>
  <c r="L219" i="28"/>
  <c r="L220" i="28"/>
  <c r="L221" i="28"/>
  <c r="L222" i="28"/>
  <c r="L223" i="28"/>
  <c r="L224" i="28"/>
  <c r="L225" i="28"/>
  <c r="L226" i="28"/>
  <c r="L227" i="28"/>
  <c r="L228" i="28"/>
  <c r="L229" i="28"/>
  <c r="L230" i="28"/>
  <c r="L231" i="28"/>
  <c r="L232" i="28"/>
  <c r="L233" i="28"/>
  <c r="L234" i="28"/>
  <c r="I235" i="28"/>
  <c r="L235" i="28"/>
  <c r="L236" i="28"/>
  <c r="I237" i="28"/>
  <c r="L237" i="28"/>
  <c r="L238" i="28"/>
  <c r="L239" i="28"/>
  <c r="L240" i="28"/>
  <c r="L241" i="28"/>
  <c r="L242" i="28"/>
  <c r="L243" i="28"/>
  <c r="L244" i="28"/>
  <c r="L245" i="28"/>
  <c r="L246" i="28"/>
  <c r="L247" i="28"/>
  <c r="L248" i="28"/>
  <c r="L249" i="28"/>
  <c r="L250" i="28"/>
  <c r="L251" i="28"/>
  <c r="L252" i="28"/>
  <c r="L253" i="28"/>
  <c r="L254" i="28"/>
  <c r="L255" i="28"/>
  <c r="L256" i="28"/>
  <c r="L257" i="28"/>
  <c r="L258" i="28"/>
  <c r="L259" i="28"/>
  <c r="L260" i="28"/>
  <c r="L261" i="28"/>
  <c r="L262" i="28"/>
  <c r="L263" i="28"/>
  <c r="L264" i="28"/>
  <c r="L265" i="28"/>
  <c r="L266" i="28"/>
  <c r="L267" i="28"/>
  <c r="L268" i="28"/>
  <c r="L269" i="28"/>
  <c r="L270" i="28"/>
  <c r="L271" i="28"/>
  <c r="L272" i="28"/>
  <c r="L273" i="28"/>
  <c r="L274" i="28"/>
  <c r="L275" i="28"/>
  <c r="L276" i="28"/>
  <c r="L277" i="28"/>
  <c r="L278" i="28"/>
  <c r="L279" i="28"/>
  <c r="L280" i="28"/>
  <c r="L281" i="28"/>
  <c r="L282" i="28"/>
  <c r="L309" i="28"/>
  <c r="L310" i="28"/>
  <c r="E374" i="28"/>
  <c r="E375" i="28"/>
  <c r="E376" i="28"/>
  <c r="E377" i="28"/>
  <c r="E378" i="28"/>
  <c r="D3" i="30"/>
  <c r="E3" i="30"/>
  <c r="F3" i="30"/>
  <c r="G3" i="30"/>
  <c r="H3" i="30"/>
  <c r="I3" i="30"/>
  <c r="J3" i="30"/>
  <c r="K3" i="30"/>
  <c r="L3" i="30"/>
  <c r="M3" i="30"/>
  <c r="N3" i="30"/>
  <c r="O3" i="30"/>
  <c r="P3" i="30"/>
  <c r="I10" i="29"/>
  <c r="M37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M109" i="28"/>
  <c r="M110" i="28"/>
  <c r="M111" i="28"/>
  <c r="M112" i="28"/>
  <c r="M113" i="28"/>
  <c r="M114" i="28"/>
  <c r="M115" i="28"/>
  <c r="M116" i="28"/>
  <c r="M117" i="28"/>
  <c r="M118" i="28"/>
  <c r="M119" i="28"/>
  <c r="M120" i="28"/>
  <c r="M121" i="28"/>
  <c r="M122" i="28"/>
  <c r="M123" i="28"/>
  <c r="M124" i="28"/>
  <c r="M125" i="28"/>
  <c r="M126" i="28"/>
  <c r="M127" i="28"/>
  <c r="M128" i="28"/>
  <c r="M129" i="28"/>
  <c r="M130" i="28"/>
  <c r="M131" i="28"/>
  <c r="M132" i="28"/>
  <c r="M133" i="28"/>
  <c r="M134" i="28"/>
  <c r="M135" i="28"/>
  <c r="M136" i="28"/>
  <c r="M137" i="28"/>
  <c r="M138" i="28"/>
  <c r="M139" i="28"/>
  <c r="M140" i="28"/>
  <c r="M141" i="28"/>
  <c r="M142" i="28"/>
  <c r="M143" i="28"/>
  <c r="M144" i="28"/>
  <c r="M145" i="28"/>
  <c r="M146" i="28"/>
  <c r="M147" i="28"/>
  <c r="M148" i="28"/>
  <c r="M149" i="28"/>
  <c r="M150" i="28"/>
  <c r="M151" i="28"/>
  <c r="M152" i="28"/>
  <c r="M153" i="28"/>
  <c r="M154" i="28"/>
  <c r="M155" i="28"/>
  <c r="M156" i="28"/>
  <c r="M157" i="28"/>
  <c r="M158" i="28"/>
  <c r="M159" i="28"/>
  <c r="M160" i="28"/>
  <c r="M161" i="28"/>
  <c r="M162" i="28"/>
  <c r="M163" i="28"/>
  <c r="M164" i="28"/>
  <c r="M165" i="28"/>
  <c r="M166" i="28"/>
  <c r="M167" i="28"/>
  <c r="M168" i="28"/>
  <c r="M169" i="28"/>
  <c r="M170" i="28"/>
  <c r="M171" i="28"/>
  <c r="M172" i="28"/>
  <c r="M173" i="28"/>
  <c r="M174" i="28"/>
  <c r="M175" i="28"/>
  <c r="M176" i="28"/>
  <c r="M177" i="28"/>
  <c r="M178" i="28"/>
  <c r="M179" i="28"/>
  <c r="M180" i="28"/>
  <c r="M181" i="28"/>
  <c r="M182" i="28"/>
  <c r="M183" i="28"/>
  <c r="M184" i="28"/>
  <c r="M185" i="28"/>
  <c r="M186" i="28"/>
  <c r="M187" i="28"/>
  <c r="M188" i="28"/>
  <c r="M189" i="28"/>
  <c r="M190" i="28"/>
  <c r="M191" i="28"/>
  <c r="M192" i="28"/>
  <c r="M193" i="28"/>
  <c r="M194" i="28"/>
  <c r="M195" i="28"/>
  <c r="M196" i="28"/>
  <c r="M197" i="28"/>
  <c r="M198" i="28"/>
  <c r="M199" i="28"/>
  <c r="M200" i="28"/>
  <c r="M201" i="28"/>
  <c r="M202" i="28"/>
  <c r="M203" i="28"/>
  <c r="M204" i="28"/>
  <c r="M205" i="28"/>
  <c r="M206" i="28"/>
  <c r="M207" i="28"/>
  <c r="M208" i="28"/>
  <c r="M209" i="28"/>
  <c r="M210" i="28"/>
  <c r="M211" i="28"/>
  <c r="M212" i="28"/>
  <c r="M213" i="28"/>
  <c r="M214" i="28"/>
  <c r="M215" i="28"/>
  <c r="M216" i="28"/>
  <c r="M217" i="28"/>
  <c r="M218" i="28"/>
  <c r="M219" i="28"/>
  <c r="M220" i="28"/>
  <c r="M221" i="28"/>
  <c r="M222" i="28"/>
  <c r="M223" i="28"/>
  <c r="M224" i="28"/>
  <c r="M225" i="28"/>
  <c r="M226" i="28"/>
  <c r="M227" i="28"/>
  <c r="M228" i="28"/>
  <c r="M229" i="28"/>
  <c r="M230" i="28"/>
  <c r="M231" i="28"/>
  <c r="M232" i="28"/>
  <c r="M233" i="28"/>
  <c r="M234" i="28"/>
  <c r="M235" i="28"/>
  <c r="M236" i="28"/>
  <c r="M237" i="28"/>
  <c r="M238" i="28"/>
  <c r="M239" i="28"/>
  <c r="M240" i="28"/>
  <c r="M241" i="28"/>
  <c r="M242" i="28"/>
  <c r="M243" i="28"/>
  <c r="M244" i="28"/>
  <c r="M245" i="28"/>
  <c r="M246" i="28"/>
  <c r="M247" i="28"/>
  <c r="M248" i="28"/>
  <c r="M249" i="28"/>
  <c r="M250" i="28"/>
  <c r="M251" i="28"/>
  <c r="M252" i="28"/>
  <c r="M253" i="28"/>
  <c r="M254" i="28"/>
  <c r="M255" i="28"/>
  <c r="M256" i="28"/>
  <c r="M257" i="28"/>
  <c r="M258" i="28"/>
  <c r="M259" i="28"/>
  <c r="M260" i="28"/>
  <c r="M261" i="28"/>
  <c r="M262" i="28"/>
  <c r="M263" i="28"/>
  <c r="M264" i="28"/>
  <c r="M265" i="28"/>
  <c r="M266" i="28"/>
  <c r="M267" i="28"/>
  <c r="M268" i="28"/>
  <c r="M269" i="28"/>
  <c r="M270" i="28"/>
  <c r="M271" i="28"/>
  <c r="M272" i="28"/>
  <c r="M273" i="28"/>
  <c r="M274" i="28"/>
  <c r="M275" i="28"/>
  <c r="M276" i="28"/>
  <c r="M277" i="28"/>
  <c r="M278" i="28"/>
  <c r="M279" i="28"/>
  <c r="M280" i="28"/>
  <c r="M281" i="28"/>
  <c r="M282" i="28"/>
  <c r="U256" i="28"/>
  <c r="H351" i="28"/>
  <c r="H350" i="28"/>
  <c r="U268" i="28"/>
  <c r="U270" i="28"/>
  <c r="U271" i="28"/>
  <c r="D15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I24" i="29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I28" i="29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I29" i="29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I30" i="29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I31" i="29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I32" i="29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I33" i="29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I34" i="29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I35" i="29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I36" i="29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I37" i="29"/>
  <c r="I39" i="29"/>
  <c r="AC28" i="29"/>
  <c r="AC29" i="29"/>
  <c r="AC30" i="29"/>
  <c r="AC31" i="29"/>
  <c r="AC32" i="29"/>
  <c r="AC33" i="29"/>
  <c r="H349" i="28"/>
  <c r="U227" i="28"/>
  <c r="H223" i="28"/>
  <c r="H222" i="28"/>
  <c r="H221" i="28"/>
  <c r="H220" i="28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H204" i="28"/>
  <c r="H203" i="28"/>
  <c r="H202" i="28"/>
  <c r="H201" i="28"/>
  <c r="H200" i="28"/>
  <c r="H199" i="28"/>
  <c r="H198" i="28"/>
  <c r="H197" i="28"/>
  <c r="H196" i="28"/>
  <c r="U239" i="28"/>
  <c r="U241" i="28"/>
  <c r="U242" i="28"/>
  <c r="H348" i="28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I18" i="29"/>
  <c r="U209" i="28"/>
  <c r="U211" i="28"/>
  <c r="N3" i="19"/>
  <c r="N10" i="19"/>
  <c r="N12" i="19"/>
  <c r="L38" i="19"/>
  <c r="K41" i="19"/>
  <c r="L41" i="19"/>
  <c r="K42" i="19"/>
  <c r="L42" i="19"/>
  <c r="K43" i="19"/>
  <c r="L43" i="19"/>
  <c r="K44" i="19"/>
  <c r="L44" i="19"/>
  <c r="K45" i="19"/>
  <c r="L45" i="19"/>
  <c r="K46" i="19"/>
  <c r="L46" i="19"/>
  <c r="K47" i="19"/>
  <c r="L47" i="19"/>
  <c r="K48" i="19"/>
  <c r="L48" i="19"/>
  <c r="K49" i="19"/>
  <c r="L49" i="19"/>
  <c r="K50" i="19"/>
  <c r="L50" i="19"/>
  <c r="K51" i="19"/>
  <c r="L51" i="19"/>
  <c r="K52" i="19"/>
  <c r="L52" i="19"/>
  <c r="K53" i="19"/>
  <c r="L53" i="19"/>
  <c r="K54" i="19"/>
  <c r="L54" i="19"/>
  <c r="K55" i="19"/>
  <c r="L55" i="19"/>
  <c r="K56" i="19"/>
  <c r="L56" i="19"/>
  <c r="K57" i="19"/>
  <c r="L57" i="19"/>
  <c r="K58" i="19"/>
  <c r="L58" i="19"/>
  <c r="K59" i="19"/>
  <c r="L59" i="19"/>
  <c r="K60" i="19"/>
  <c r="L60" i="19"/>
  <c r="K61" i="19"/>
  <c r="L61" i="19"/>
  <c r="K62" i="19"/>
  <c r="L62" i="19"/>
  <c r="K63" i="19"/>
  <c r="L63" i="19"/>
  <c r="K64" i="19"/>
  <c r="L64" i="19"/>
  <c r="K65" i="19"/>
  <c r="L65" i="19"/>
  <c r="K66" i="19"/>
  <c r="L66" i="19"/>
  <c r="K67" i="19"/>
  <c r="L67" i="19"/>
  <c r="K68" i="19"/>
  <c r="L68" i="19"/>
  <c r="K69" i="19"/>
  <c r="L69" i="19"/>
  <c r="K70" i="19"/>
  <c r="L70" i="19"/>
  <c r="K71" i="19"/>
  <c r="L71" i="19"/>
  <c r="K72" i="19"/>
  <c r="L72" i="19"/>
  <c r="K73" i="19"/>
  <c r="L73" i="19"/>
  <c r="K74" i="19"/>
  <c r="L74" i="19"/>
  <c r="K75" i="19"/>
  <c r="L75" i="19"/>
  <c r="K76" i="19"/>
  <c r="L76" i="19"/>
  <c r="K77" i="19"/>
  <c r="L77" i="19"/>
  <c r="K78" i="19"/>
  <c r="L78" i="19"/>
  <c r="K79" i="19"/>
  <c r="L79" i="19"/>
  <c r="K80" i="19"/>
  <c r="L80" i="19"/>
  <c r="K81" i="19"/>
  <c r="L81" i="19"/>
  <c r="K82" i="19"/>
  <c r="L82" i="19"/>
  <c r="K83" i="19"/>
  <c r="L83" i="19"/>
  <c r="K84" i="19"/>
  <c r="L84" i="19"/>
  <c r="K85" i="19"/>
  <c r="L85" i="19"/>
  <c r="K86" i="19"/>
  <c r="L86" i="19"/>
  <c r="K87" i="19"/>
  <c r="L87" i="19"/>
  <c r="K88" i="19"/>
  <c r="L88" i="19"/>
  <c r="K89" i="19"/>
  <c r="L89" i="19"/>
  <c r="K90" i="19"/>
  <c r="L90" i="19"/>
  <c r="K91" i="19"/>
  <c r="L91" i="19"/>
  <c r="K92" i="19"/>
  <c r="L92" i="19"/>
  <c r="K93" i="19"/>
  <c r="L93" i="19"/>
  <c r="K94" i="19"/>
  <c r="L94" i="19"/>
  <c r="K95" i="19"/>
  <c r="L95" i="19"/>
  <c r="K96" i="19"/>
  <c r="L96" i="19"/>
  <c r="K97" i="19"/>
  <c r="L97" i="19"/>
  <c r="K98" i="19"/>
  <c r="L98" i="19"/>
  <c r="K99" i="19"/>
  <c r="L99" i="19"/>
  <c r="K100" i="19"/>
  <c r="L100" i="19"/>
  <c r="K101" i="19"/>
  <c r="L101" i="19"/>
  <c r="K102" i="19"/>
  <c r="L102" i="19"/>
  <c r="K103" i="19"/>
  <c r="L103" i="19"/>
  <c r="K104" i="19"/>
  <c r="L104" i="19"/>
  <c r="K105" i="19"/>
  <c r="L105" i="19"/>
  <c r="K106" i="19"/>
  <c r="L106" i="19"/>
  <c r="K107" i="19"/>
  <c r="L107" i="19"/>
  <c r="K108" i="19"/>
  <c r="L108" i="19"/>
  <c r="K109" i="19"/>
  <c r="L109" i="19"/>
  <c r="K110" i="19"/>
  <c r="L110" i="19"/>
  <c r="K111" i="19"/>
  <c r="L111" i="19"/>
  <c r="K112" i="19"/>
  <c r="L112" i="19"/>
  <c r="K113" i="19"/>
  <c r="L113" i="19"/>
  <c r="K114" i="19"/>
  <c r="L114" i="19"/>
  <c r="K115" i="19"/>
  <c r="L115" i="19"/>
  <c r="K116" i="19"/>
  <c r="L116" i="19"/>
  <c r="K117" i="19"/>
  <c r="L117" i="19"/>
  <c r="K118" i="19"/>
  <c r="L118" i="19"/>
  <c r="K119" i="19"/>
  <c r="L119" i="19"/>
  <c r="K120" i="19"/>
  <c r="L120" i="19"/>
  <c r="K121" i="19"/>
  <c r="L121" i="19"/>
  <c r="K122" i="19"/>
  <c r="L122" i="19"/>
  <c r="K123" i="19"/>
  <c r="L123" i="19"/>
  <c r="K124" i="19"/>
  <c r="L124" i="19"/>
  <c r="K125" i="19"/>
  <c r="L125" i="19"/>
  <c r="K126" i="19"/>
  <c r="L126" i="19"/>
  <c r="K127" i="19"/>
  <c r="L127" i="19"/>
  <c r="K128" i="19"/>
  <c r="L128" i="19"/>
  <c r="K129" i="19"/>
  <c r="L129" i="19"/>
  <c r="K130" i="19"/>
  <c r="L130" i="19"/>
  <c r="K131" i="19"/>
  <c r="L131" i="19"/>
  <c r="K132" i="19"/>
  <c r="L132" i="19"/>
  <c r="K133" i="19"/>
  <c r="L133" i="19"/>
  <c r="K134" i="19"/>
  <c r="L134" i="19"/>
  <c r="K135" i="19"/>
  <c r="L135" i="19"/>
  <c r="K136" i="19"/>
  <c r="L136" i="19"/>
  <c r="K137" i="19"/>
  <c r="L137" i="19"/>
  <c r="K138" i="19"/>
  <c r="L138" i="19"/>
  <c r="K139" i="19"/>
  <c r="L139" i="19"/>
  <c r="K140" i="19"/>
  <c r="L140" i="19"/>
  <c r="K141" i="19"/>
  <c r="L141" i="19"/>
  <c r="K142" i="19"/>
  <c r="L142" i="19"/>
  <c r="K143" i="19"/>
  <c r="L143" i="19"/>
  <c r="K144" i="19"/>
  <c r="L144" i="19"/>
  <c r="K145" i="19"/>
  <c r="L145" i="19"/>
  <c r="K146" i="19"/>
  <c r="L146" i="19"/>
  <c r="K147" i="19"/>
  <c r="L147" i="19"/>
  <c r="K148" i="19"/>
  <c r="L148" i="19"/>
  <c r="K149" i="19"/>
  <c r="L149" i="19"/>
  <c r="K150" i="19"/>
  <c r="L150" i="19"/>
  <c r="K151" i="19"/>
  <c r="L151" i="19"/>
  <c r="K152" i="19"/>
  <c r="L152" i="19"/>
  <c r="K153" i="19"/>
  <c r="L153" i="19"/>
  <c r="K154" i="19"/>
  <c r="L154" i="19"/>
  <c r="K155" i="19"/>
  <c r="L155" i="19"/>
  <c r="K156" i="19"/>
  <c r="L156" i="19"/>
  <c r="K157" i="19"/>
  <c r="L157" i="19"/>
  <c r="K158" i="19"/>
  <c r="L158" i="19"/>
  <c r="K159" i="19"/>
  <c r="L159" i="19"/>
  <c r="K160" i="19"/>
  <c r="L160" i="19"/>
  <c r="K161" i="19"/>
  <c r="L161" i="19"/>
  <c r="K162" i="19"/>
  <c r="L162" i="19"/>
  <c r="K163" i="19"/>
  <c r="L163" i="19"/>
  <c r="K164" i="19"/>
  <c r="L164" i="19"/>
  <c r="K165" i="19"/>
  <c r="L165" i="19"/>
  <c r="K166" i="19"/>
  <c r="L166" i="19"/>
  <c r="K167" i="19"/>
  <c r="L167" i="19"/>
  <c r="K168" i="19"/>
  <c r="L168" i="19"/>
  <c r="K169" i="19"/>
  <c r="L169" i="19"/>
  <c r="K170" i="19"/>
  <c r="L170" i="19"/>
  <c r="K171" i="19"/>
  <c r="L171" i="19"/>
  <c r="K172" i="19"/>
  <c r="L172" i="19"/>
  <c r="K173" i="19"/>
  <c r="L173" i="19"/>
  <c r="K174" i="19"/>
  <c r="L174" i="19"/>
  <c r="K175" i="19"/>
  <c r="L175" i="19"/>
  <c r="K176" i="19"/>
  <c r="L176" i="19"/>
  <c r="K177" i="19"/>
  <c r="L177" i="19"/>
  <c r="K178" i="19"/>
  <c r="L178" i="19"/>
  <c r="K179" i="19"/>
  <c r="L179" i="19"/>
  <c r="K180" i="19"/>
  <c r="L180" i="19"/>
  <c r="K181" i="19"/>
  <c r="L181" i="19"/>
  <c r="K182" i="19"/>
  <c r="L182" i="19"/>
  <c r="K183" i="19"/>
  <c r="L183" i="19"/>
  <c r="K184" i="19"/>
  <c r="L184" i="19"/>
  <c r="K185" i="19"/>
  <c r="L185" i="19"/>
  <c r="K186" i="19"/>
  <c r="L186" i="19"/>
  <c r="K187" i="19"/>
  <c r="L187" i="19"/>
  <c r="K188" i="19"/>
  <c r="L188" i="19"/>
  <c r="K189" i="19"/>
  <c r="L189" i="19"/>
  <c r="K190" i="19"/>
  <c r="L190" i="19"/>
  <c r="K191" i="19"/>
  <c r="L191" i="19"/>
  <c r="K192" i="19"/>
  <c r="L192" i="19"/>
  <c r="K193" i="19"/>
  <c r="L193" i="19"/>
  <c r="K194" i="19"/>
  <c r="L194" i="19"/>
  <c r="K195" i="19"/>
  <c r="L195" i="19"/>
  <c r="K196" i="19"/>
  <c r="L196" i="19"/>
  <c r="K197" i="19"/>
  <c r="L197" i="19"/>
  <c r="K198" i="19"/>
  <c r="L198" i="19"/>
  <c r="K199" i="19"/>
  <c r="L199" i="19"/>
  <c r="K200" i="19"/>
  <c r="L200" i="19"/>
  <c r="K201" i="19"/>
  <c r="L201" i="19"/>
  <c r="K202" i="19"/>
  <c r="L202" i="19"/>
  <c r="K203" i="19"/>
  <c r="L203" i="19"/>
  <c r="K204" i="19"/>
  <c r="L204" i="19"/>
  <c r="K205" i="19"/>
  <c r="L205" i="19"/>
  <c r="K206" i="19"/>
  <c r="L206" i="19"/>
  <c r="K207" i="19"/>
  <c r="L207" i="19"/>
  <c r="K208" i="19"/>
  <c r="L208" i="19"/>
  <c r="K209" i="19"/>
  <c r="L209" i="19"/>
  <c r="K210" i="19"/>
  <c r="L210" i="19"/>
  <c r="K211" i="19"/>
  <c r="L211" i="19"/>
  <c r="K212" i="19"/>
  <c r="L212" i="19"/>
  <c r="K213" i="19"/>
  <c r="L213" i="19"/>
  <c r="K214" i="19"/>
  <c r="L214" i="19"/>
  <c r="K215" i="19"/>
  <c r="L215" i="19"/>
  <c r="K216" i="19"/>
  <c r="L216" i="19"/>
  <c r="K217" i="19"/>
  <c r="L217" i="19"/>
  <c r="K218" i="19"/>
  <c r="L218" i="19"/>
  <c r="K219" i="19"/>
  <c r="L219" i="19"/>
  <c r="K220" i="19"/>
  <c r="L220" i="19"/>
  <c r="K221" i="19"/>
  <c r="L221" i="19"/>
  <c r="K222" i="19"/>
  <c r="L222" i="19"/>
  <c r="K223" i="19"/>
  <c r="L223" i="19"/>
  <c r="K224" i="19"/>
  <c r="L224" i="19"/>
  <c r="K225" i="19"/>
  <c r="L225" i="19"/>
  <c r="K226" i="19"/>
  <c r="L226" i="19"/>
  <c r="K227" i="19"/>
  <c r="L227" i="19"/>
  <c r="K228" i="19"/>
  <c r="L228" i="19"/>
  <c r="K229" i="19"/>
  <c r="L229" i="19"/>
  <c r="K230" i="19"/>
  <c r="L230" i="19"/>
  <c r="K231" i="19"/>
  <c r="L231" i="19"/>
  <c r="K232" i="19"/>
  <c r="L232" i="19"/>
  <c r="K233" i="19"/>
  <c r="L233" i="19"/>
  <c r="K234" i="19"/>
  <c r="L234" i="19"/>
  <c r="K235" i="19"/>
  <c r="L235" i="19"/>
  <c r="K236" i="19"/>
  <c r="L236" i="19"/>
  <c r="K237" i="19"/>
  <c r="L237" i="19"/>
  <c r="K238" i="19"/>
  <c r="L238" i="19"/>
  <c r="K239" i="19"/>
  <c r="L239" i="19"/>
  <c r="K240" i="19"/>
  <c r="L240" i="19"/>
  <c r="K241" i="19"/>
  <c r="L241" i="19"/>
  <c r="K242" i="19"/>
  <c r="L242" i="19"/>
  <c r="K243" i="19"/>
  <c r="L243" i="19"/>
  <c r="K244" i="19"/>
  <c r="L244" i="19"/>
  <c r="K245" i="19"/>
  <c r="L245" i="19"/>
  <c r="K246" i="19"/>
  <c r="L246" i="19"/>
  <c r="K247" i="19"/>
  <c r="L247" i="19"/>
  <c r="K248" i="19"/>
  <c r="L248" i="19"/>
  <c r="K249" i="19"/>
  <c r="L249" i="19"/>
  <c r="K250" i="19"/>
  <c r="L250" i="19"/>
  <c r="K251" i="19"/>
  <c r="L251" i="19"/>
  <c r="K252" i="19"/>
  <c r="L252" i="19"/>
  <c r="K253" i="19"/>
  <c r="L253" i="19"/>
  <c r="K254" i="19"/>
  <c r="L254" i="19"/>
  <c r="K255" i="19"/>
  <c r="L255" i="19"/>
  <c r="K256" i="19"/>
  <c r="L256" i="19"/>
  <c r="K257" i="19"/>
  <c r="L257" i="19"/>
  <c r="K258" i="19"/>
  <c r="L258" i="19"/>
  <c r="K259" i="19"/>
  <c r="L259" i="19"/>
  <c r="K260" i="19"/>
  <c r="L260" i="19"/>
  <c r="K261" i="19"/>
  <c r="L261" i="19"/>
  <c r="K262" i="19"/>
  <c r="L262" i="19"/>
  <c r="K263" i="19"/>
  <c r="L263" i="19"/>
  <c r="K264" i="19"/>
  <c r="L264" i="19"/>
  <c r="K265" i="19"/>
  <c r="L265" i="19"/>
  <c r="K266" i="19"/>
  <c r="L266" i="19"/>
  <c r="K267" i="19"/>
  <c r="L267" i="19"/>
  <c r="K268" i="19"/>
  <c r="L268" i="19"/>
  <c r="K269" i="19"/>
  <c r="L269" i="19"/>
  <c r="K270" i="19"/>
  <c r="L270" i="19"/>
  <c r="K271" i="19"/>
  <c r="L271" i="19"/>
  <c r="K272" i="19"/>
  <c r="L272" i="19"/>
  <c r="K273" i="19"/>
  <c r="L273" i="19"/>
  <c r="K274" i="19"/>
  <c r="L274" i="19"/>
  <c r="K275" i="19"/>
  <c r="L275" i="19"/>
  <c r="K276" i="19"/>
  <c r="L276" i="19"/>
  <c r="K277" i="19"/>
  <c r="L277" i="19"/>
  <c r="K278" i="19"/>
  <c r="L278" i="19"/>
  <c r="K279" i="19"/>
  <c r="L279" i="19"/>
  <c r="K280" i="19"/>
  <c r="L280" i="19"/>
  <c r="K281" i="19"/>
  <c r="L281" i="19"/>
  <c r="K282" i="19"/>
  <c r="L282" i="19"/>
  <c r="K283" i="19"/>
  <c r="L283" i="19"/>
  <c r="K284" i="19"/>
  <c r="L284" i="19"/>
  <c r="K285" i="19"/>
  <c r="L285" i="19"/>
  <c r="K286" i="19"/>
  <c r="L286" i="19"/>
  <c r="K287" i="19"/>
  <c r="L287" i="19"/>
  <c r="K288" i="19"/>
  <c r="L288" i="19"/>
  <c r="K289" i="19"/>
  <c r="L289" i="19"/>
  <c r="K290" i="19"/>
  <c r="L290" i="19"/>
  <c r="K291" i="19"/>
  <c r="L291" i="19"/>
  <c r="K292" i="19"/>
  <c r="L292" i="19"/>
  <c r="K293" i="19"/>
  <c r="L293" i="19"/>
  <c r="K294" i="19"/>
  <c r="L294" i="19"/>
  <c r="K295" i="19"/>
  <c r="L295" i="19"/>
  <c r="K296" i="19"/>
  <c r="L296" i="19"/>
  <c r="K297" i="19"/>
  <c r="L297" i="19"/>
  <c r="K298" i="19"/>
  <c r="L298" i="19"/>
  <c r="K299" i="19"/>
  <c r="L299" i="19"/>
  <c r="K300" i="19"/>
  <c r="L300" i="19"/>
  <c r="K301" i="19"/>
  <c r="L301" i="19"/>
  <c r="K302" i="19"/>
  <c r="L302" i="19"/>
  <c r="K303" i="19"/>
  <c r="L303" i="19"/>
  <c r="K304" i="19"/>
  <c r="L304" i="19"/>
  <c r="K305" i="19"/>
  <c r="L305" i="19"/>
  <c r="K306" i="19"/>
  <c r="L306" i="19"/>
  <c r="K307" i="19"/>
  <c r="L307" i="19"/>
  <c r="K308" i="19"/>
  <c r="L308" i="19"/>
  <c r="K309" i="19"/>
  <c r="L309" i="19"/>
  <c r="K310" i="19"/>
  <c r="L310" i="19"/>
  <c r="K311" i="19"/>
  <c r="L311" i="19"/>
  <c r="K312" i="19"/>
  <c r="L312" i="19"/>
  <c r="K313" i="19"/>
  <c r="L313" i="19"/>
  <c r="K314" i="19"/>
  <c r="L314" i="19"/>
  <c r="K315" i="19"/>
  <c r="L315" i="19"/>
  <c r="K316" i="19"/>
  <c r="L316" i="19"/>
  <c r="K317" i="19"/>
  <c r="L317" i="19"/>
  <c r="K318" i="19"/>
  <c r="L318" i="19"/>
  <c r="K319" i="19"/>
  <c r="L319" i="19"/>
  <c r="K320" i="19"/>
  <c r="L320" i="19"/>
  <c r="K321" i="19"/>
  <c r="L321" i="19"/>
  <c r="K322" i="19"/>
  <c r="L322" i="19"/>
  <c r="K323" i="19"/>
  <c r="L323" i="19"/>
  <c r="K324" i="19"/>
  <c r="L324" i="19"/>
  <c r="K325" i="19"/>
  <c r="L325" i="19"/>
  <c r="K326" i="19"/>
  <c r="L326" i="19"/>
  <c r="K327" i="19"/>
  <c r="L327" i="19"/>
  <c r="K328" i="19"/>
  <c r="L328" i="19"/>
  <c r="K329" i="19"/>
  <c r="L329" i="19"/>
  <c r="K330" i="19"/>
  <c r="L330" i="19"/>
  <c r="K331" i="19"/>
  <c r="L331" i="19"/>
  <c r="K332" i="19"/>
  <c r="L332" i="19"/>
  <c r="K333" i="19"/>
  <c r="L333" i="19"/>
  <c r="K334" i="19"/>
  <c r="L334" i="19"/>
  <c r="K335" i="19"/>
  <c r="L335" i="19"/>
  <c r="K336" i="19"/>
  <c r="L336" i="19"/>
  <c r="M43" i="24"/>
  <c r="L46" i="24"/>
  <c r="M46" i="24"/>
  <c r="L47" i="24"/>
  <c r="M47" i="24"/>
  <c r="L48" i="24"/>
  <c r="M48" i="24"/>
  <c r="L49" i="24"/>
  <c r="M49" i="24"/>
  <c r="L50" i="24"/>
  <c r="M50" i="24"/>
  <c r="L51" i="24"/>
  <c r="M51" i="24"/>
  <c r="L52" i="24"/>
  <c r="M52" i="24"/>
  <c r="L53" i="24"/>
  <c r="M53" i="24"/>
  <c r="L54" i="24"/>
  <c r="M54" i="24"/>
  <c r="L55" i="24"/>
  <c r="M55" i="24"/>
  <c r="L56" i="24"/>
  <c r="M56" i="24"/>
  <c r="L57" i="24"/>
  <c r="M57" i="24"/>
  <c r="L58" i="24"/>
  <c r="M58" i="24"/>
  <c r="L59" i="24"/>
  <c r="M59" i="24"/>
  <c r="L60" i="24"/>
  <c r="M60" i="24"/>
  <c r="L61" i="24"/>
  <c r="M61" i="24"/>
  <c r="L62" i="24"/>
  <c r="M62" i="24"/>
  <c r="L63" i="24"/>
  <c r="M63" i="24"/>
  <c r="L64" i="24"/>
  <c r="M64" i="24"/>
  <c r="L65" i="24"/>
  <c r="M65" i="24"/>
  <c r="L66" i="24"/>
  <c r="M66" i="24"/>
  <c r="L67" i="24"/>
  <c r="M67" i="24"/>
  <c r="L68" i="24"/>
  <c r="M68" i="24"/>
  <c r="L69" i="24"/>
  <c r="M69" i="24"/>
  <c r="L70" i="24"/>
  <c r="M70" i="24"/>
  <c r="L71" i="24"/>
  <c r="M71" i="24"/>
  <c r="L72" i="24"/>
  <c r="M72" i="24"/>
  <c r="L73" i="24"/>
  <c r="M73" i="24"/>
  <c r="L74" i="24"/>
  <c r="M74" i="24"/>
  <c r="L75" i="24"/>
  <c r="M75" i="24"/>
  <c r="L76" i="24"/>
  <c r="M76" i="24"/>
  <c r="L77" i="24"/>
  <c r="M77" i="24"/>
  <c r="L78" i="24"/>
  <c r="M78" i="24"/>
  <c r="L79" i="24"/>
  <c r="M79" i="24"/>
  <c r="L80" i="24"/>
  <c r="M80" i="24"/>
  <c r="L81" i="24"/>
  <c r="M81" i="24"/>
  <c r="L82" i="24"/>
  <c r="M82" i="24"/>
  <c r="L83" i="24"/>
  <c r="M83" i="24"/>
  <c r="L84" i="24"/>
  <c r="M84" i="24"/>
  <c r="L85" i="24"/>
  <c r="M85" i="24"/>
  <c r="L86" i="24"/>
  <c r="M86" i="24"/>
  <c r="L87" i="24"/>
  <c r="M87" i="24"/>
  <c r="L88" i="24"/>
  <c r="M88" i="24"/>
  <c r="L89" i="24"/>
  <c r="M89" i="24"/>
  <c r="L90" i="24"/>
  <c r="M90" i="24"/>
  <c r="L91" i="24"/>
  <c r="M91" i="24"/>
  <c r="L92" i="24"/>
  <c r="M92" i="24"/>
  <c r="L93" i="24"/>
  <c r="M93" i="24"/>
  <c r="L94" i="24"/>
  <c r="M94" i="24"/>
  <c r="L95" i="24"/>
  <c r="M95" i="24"/>
  <c r="L96" i="24"/>
  <c r="M96" i="24"/>
  <c r="L97" i="24"/>
  <c r="M97" i="24"/>
  <c r="L98" i="24"/>
  <c r="M98" i="24"/>
  <c r="L99" i="24"/>
  <c r="M99" i="24"/>
  <c r="L100" i="24"/>
  <c r="M100" i="24"/>
  <c r="L101" i="24"/>
  <c r="M101" i="24"/>
  <c r="L102" i="24"/>
  <c r="M102" i="24"/>
  <c r="L103" i="24"/>
  <c r="M103" i="24"/>
  <c r="L104" i="24"/>
  <c r="M104" i="24"/>
  <c r="L105" i="24"/>
  <c r="M105" i="24"/>
  <c r="L106" i="24"/>
  <c r="M106" i="24"/>
  <c r="L107" i="24"/>
  <c r="M107" i="24"/>
  <c r="L108" i="24"/>
  <c r="M108" i="24"/>
  <c r="L109" i="24"/>
  <c r="M109" i="24"/>
  <c r="L110" i="24"/>
  <c r="M110" i="24"/>
  <c r="L111" i="24"/>
  <c r="M111" i="24"/>
  <c r="L112" i="24"/>
  <c r="M112" i="24"/>
  <c r="L113" i="24"/>
  <c r="M113" i="24"/>
  <c r="L114" i="24"/>
  <c r="M114" i="24"/>
  <c r="L115" i="24"/>
  <c r="M115" i="24"/>
  <c r="L116" i="24"/>
  <c r="M116" i="24"/>
  <c r="L117" i="24"/>
  <c r="M117" i="24"/>
  <c r="L118" i="24"/>
  <c r="M118" i="24"/>
  <c r="L119" i="24"/>
  <c r="M119" i="24"/>
  <c r="L120" i="24"/>
  <c r="M120" i="24"/>
  <c r="L121" i="24"/>
  <c r="M121" i="24"/>
  <c r="L122" i="24"/>
  <c r="M122" i="24"/>
  <c r="L123" i="24"/>
  <c r="M123" i="24"/>
  <c r="L124" i="24"/>
  <c r="M124" i="24"/>
  <c r="L125" i="24"/>
  <c r="M125" i="24"/>
  <c r="L126" i="24"/>
  <c r="M126" i="24"/>
  <c r="L127" i="24"/>
  <c r="M127" i="24"/>
  <c r="L128" i="24"/>
  <c r="M128" i="24"/>
  <c r="L129" i="24"/>
  <c r="M129" i="24"/>
  <c r="L130" i="24"/>
  <c r="M130" i="24"/>
  <c r="L131" i="24"/>
  <c r="M131" i="24"/>
  <c r="L132" i="24"/>
  <c r="M132" i="24"/>
  <c r="L133" i="24"/>
  <c r="M133" i="24"/>
  <c r="L134" i="24"/>
  <c r="M134" i="24"/>
  <c r="L135" i="24"/>
  <c r="M135" i="24"/>
  <c r="L136" i="24"/>
  <c r="M136" i="24"/>
  <c r="L137" i="24"/>
  <c r="M137" i="24"/>
  <c r="L138" i="24"/>
  <c r="M138" i="24"/>
  <c r="L139" i="24"/>
  <c r="M139" i="24"/>
  <c r="L140" i="24"/>
  <c r="M140" i="24"/>
  <c r="L141" i="24"/>
  <c r="M141" i="24"/>
  <c r="L142" i="24"/>
  <c r="M142" i="24"/>
  <c r="L143" i="24"/>
  <c r="M143" i="24"/>
  <c r="L144" i="24"/>
  <c r="M144" i="24"/>
  <c r="L145" i="24"/>
  <c r="M145" i="24"/>
  <c r="L146" i="24"/>
  <c r="M146" i="24"/>
  <c r="L147" i="24"/>
  <c r="M147" i="24"/>
  <c r="L148" i="24"/>
  <c r="M148" i="24"/>
  <c r="L149" i="24"/>
  <c r="M149" i="24"/>
  <c r="L150" i="24"/>
  <c r="M150" i="24"/>
  <c r="L151" i="24"/>
  <c r="M151" i="24"/>
  <c r="L152" i="24"/>
  <c r="M152" i="24"/>
  <c r="L153" i="24"/>
  <c r="M153" i="24"/>
  <c r="L154" i="24"/>
  <c r="M154" i="24"/>
  <c r="L155" i="24"/>
  <c r="M155" i="24"/>
  <c r="L156" i="24"/>
  <c r="M156" i="24"/>
  <c r="L157" i="24"/>
  <c r="M157" i="24"/>
  <c r="L158" i="24"/>
  <c r="M158" i="24"/>
  <c r="L159" i="24"/>
  <c r="M159" i="24"/>
  <c r="L160" i="24"/>
  <c r="M160" i="24"/>
  <c r="L161" i="24"/>
  <c r="M161" i="24"/>
  <c r="L162" i="24"/>
  <c r="M162" i="24"/>
  <c r="L163" i="24"/>
  <c r="M163" i="24"/>
  <c r="L164" i="24"/>
  <c r="M164" i="24"/>
  <c r="L165" i="24"/>
  <c r="M165" i="24"/>
  <c r="L166" i="24"/>
  <c r="M166" i="24"/>
  <c r="L167" i="24"/>
  <c r="M167" i="24"/>
  <c r="L168" i="24"/>
  <c r="M168" i="24"/>
  <c r="L169" i="24"/>
  <c r="M169" i="24"/>
  <c r="L170" i="24"/>
  <c r="M170" i="24"/>
  <c r="L171" i="24"/>
  <c r="M171" i="24"/>
  <c r="L172" i="24"/>
  <c r="M172" i="24"/>
  <c r="L173" i="24"/>
  <c r="M173" i="24"/>
  <c r="L174" i="24"/>
  <c r="M174" i="24"/>
  <c r="L175" i="24"/>
  <c r="M175" i="24"/>
  <c r="L176" i="24"/>
  <c r="M176" i="24"/>
  <c r="L177" i="24"/>
  <c r="M177" i="24"/>
  <c r="L178" i="24"/>
  <c r="M178" i="24"/>
  <c r="L179" i="24"/>
  <c r="M179" i="24"/>
  <c r="L180" i="24"/>
  <c r="M180" i="24"/>
  <c r="L181" i="24"/>
  <c r="M181" i="24"/>
  <c r="L182" i="24"/>
  <c r="M182" i="24"/>
  <c r="L183" i="24"/>
  <c r="M183" i="24"/>
  <c r="L184" i="24"/>
  <c r="M184" i="24"/>
  <c r="L185" i="24"/>
  <c r="M185" i="24"/>
  <c r="L186" i="24"/>
  <c r="M186" i="24"/>
  <c r="L187" i="24"/>
  <c r="M187" i="24"/>
  <c r="L188" i="24"/>
  <c r="M188" i="24"/>
  <c r="L189" i="24"/>
  <c r="M189" i="24"/>
  <c r="L190" i="24"/>
  <c r="M190" i="24"/>
  <c r="L191" i="24"/>
  <c r="M191" i="24"/>
  <c r="L192" i="24"/>
  <c r="M192" i="24"/>
  <c r="L193" i="24"/>
  <c r="M193" i="24"/>
  <c r="L194" i="24"/>
  <c r="M194" i="24"/>
  <c r="L195" i="24"/>
  <c r="M195" i="24"/>
  <c r="L196" i="24"/>
  <c r="M196" i="24"/>
  <c r="L197" i="24"/>
  <c r="M197" i="24"/>
  <c r="L198" i="24"/>
  <c r="M198" i="24"/>
  <c r="L199" i="24"/>
  <c r="M199" i="24"/>
  <c r="L200" i="24"/>
  <c r="M200" i="24"/>
  <c r="L201" i="24"/>
  <c r="M201" i="24"/>
  <c r="L202" i="24"/>
  <c r="M202" i="24"/>
  <c r="L203" i="24"/>
  <c r="M203" i="24"/>
  <c r="L204" i="24"/>
  <c r="M204" i="24"/>
  <c r="L205" i="24"/>
  <c r="M205" i="24"/>
  <c r="M206" i="24"/>
  <c r="L207" i="24"/>
  <c r="M207" i="24"/>
  <c r="L208" i="24"/>
  <c r="M208" i="24"/>
  <c r="L209" i="24"/>
  <c r="M209" i="24"/>
  <c r="L210" i="24"/>
  <c r="M210" i="24"/>
  <c r="L211" i="24"/>
  <c r="M211" i="24"/>
  <c r="L212" i="24"/>
  <c r="M212" i="24"/>
  <c r="L213" i="24"/>
  <c r="M213" i="24"/>
  <c r="L214" i="24"/>
  <c r="M214" i="24"/>
  <c r="L215" i="24"/>
  <c r="M215" i="24"/>
  <c r="L216" i="24"/>
  <c r="M216" i="24"/>
  <c r="L217" i="24"/>
  <c r="M217" i="24"/>
  <c r="L218" i="24"/>
  <c r="M218" i="24"/>
  <c r="L219" i="24"/>
  <c r="M219" i="24"/>
  <c r="L220" i="24"/>
  <c r="M220" i="24"/>
  <c r="L221" i="24"/>
  <c r="M221" i="24"/>
  <c r="L222" i="24"/>
  <c r="M222" i="24"/>
  <c r="L223" i="24"/>
  <c r="M223" i="24"/>
  <c r="L224" i="24"/>
  <c r="M224" i="24"/>
  <c r="L225" i="24"/>
  <c r="M225" i="24"/>
  <c r="L226" i="24"/>
  <c r="M226" i="24"/>
  <c r="L227" i="24"/>
  <c r="M227" i="24"/>
  <c r="L228" i="24"/>
  <c r="M228" i="24"/>
  <c r="L229" i="24"/>
  <c r="M229" i="24"/>
  <c r="L230" i="24"/>
  <c r="M230" i="24"/>
  <c r="L231" i="24"/>
  <c r="M231" i="24"/>
  <c r="L232" i="24"/>
  <c r="M232" i="24"/>
  <c r="L233" i="24"/>
  <c r="M233" i="24"/>
  <c r="L234" i="24"/>
  <c r="M234" i="24"/>
  <c r="L235" i="24"/>
  <c r="M235" i="24"/>
  <c r="L236" i="24"/>
  <c r="M236" i="24"/>
  <c r="L237" i="24"/>
  <c r="M237" i="24"/>
  <c r="L238" i="24"/>
  <c r="M238" i="24"/>
  <c r="L239" i="24"/>
  <c r="M239" i="24"/>
  <c r="L240" i="24"/>
  <c r="M240" i="24"/>
  <c r="L241" i="24"/>
  <c r="M241" i="24"/>
  <c r="L242" i="24"/>
  <c r="M242" i="24"/>
  <c r="L243" i="24"/>
  <c r="M243" i="24"/>
  <c r="L244" i="24"/>
  <c r="M244" i="24"/>
  <c r="L245" i="24"/>
  <c r="M245" i="24"/>
  <c r="L246" i="24"/>
  <c r="M246" i="24"/>
  <c r="L247" i="24"/>
  <c r="M247" i="24"/>
  <c r="L248" i="24"/>
  <c r="M248" i="24"/>
  <c r="L249" i="24"/>
  <c r="M249" i="24"/>
  <c r="L250" i="24"/>
  <c r="M250" i="24"/>
  <c r="L251" i="24"/>
  <c r="M251" i="24"/>
  <c r="L252" i="24"/>
  <c r="M252" i="24"/>
  <c r="L253" i="24"/>
  <c r="M253" i="24"/>
  <c r="L254" i="24"/>
  <c r="M254" i="24"/>
  <c r="L255" i="24"/>
  <c r="M255" i="24"/>
  <c r="L256" i="24"/>
  <c r="M256" i="24"/>
  <c r="L257" i="24"/>
  <c r="M257" i="24"/>
  <c r="L258" i="24"/>
  <c r="M258" i="24"/>
  <c r="L259" i="24"/>
  <c r="M259" i="24"/>
  <c r="L260" i="24"/>
  <c r="M260" i="24"/>
  <c r="L261" i="24"/>
  <c r="M261" i="24"/>
  <c r="L262" i="24"/>
  <c r="M262" i="24"/>
  <c r="L263" i="24"/>
  <c r="M263" i="24"/>
  <c r="L264" i="24"/>
  <c r="M264" i="24"/>
  <c r="L265" i="24"/>
  <c r="M265" i="24"/>
  <c r="L266" i="24"/>
  <c r="M266" i="24"/>
  <c r="L267" i="24"/>
  <c r="M267" i="24"/>
  <c r="L268" i="24"/>
  <c r="M268" i="24"/>
  <c r="L269" i="24"/>
  <c r="M269" i="24"/>
  <c r="L270" i="24"/>
  <c r="M270" i="24"/>
  <c r="L271" i="24"/>
  <c r="M271" i="24"/>
  <c r="L272" i="24"/>
  <c r="M272" i="24"/>
  <c r="L273" i="24"/>
  <c r="M273" i="24"/>
  <c r="L274" i="24"/>
  <c r="M274" i="24"/>
  <c r="L275" i="24"/>
  <c r="M275" i="24"/>
  <c r="L276" i="24"/>
  <c r="M276" i="24"/>
  <c r="L277" i="24"/>
  <c r="M277" i="24"/>
  <c r="L278" i="24"/>
  <c r="M278" i="24"/>
  <c r="M279" i="24"/>
  <c r="K280" i="24"/>
  <c r="L280" i="24"/>
  <c r="M280" i="24"/>
  <c r="K281" i="24"/>
  <c r="L281" i="24"/>
  <c r="M281" i="24"/>
  <c r="K282" i="24"/>
  <c r="L282" i="24"/>
  <c r="M282" i="24"/>
  <c r="K283" i="24"/>
  <c r="L283" i="24"/>
  <c r="M283" i="24"/>
  <c r="L284" i="24"/>
  <c r="M284" i="24"/>
  <c r="L285" i="24"/>
  <c r="M285" i="24"/>
  <c r="L286" i="24"/>
  <c r="M286" i="24"/>
  <c r="L287" i="24"/>
  <c r="M287" i="24"/>
  <c r="L288" i="24"/>
  <c r="M288" i="24"/>
  <c r="L289" i="24"/>
  <c r="M289" i="24"/>
  <c r="L290" i="24"/>
  <c r="M290" i="24"/>
  <c r="L291" i="24"/>
  <c r="M291" i="24"/>
  <c r="L292" i="24"/>
  <c r="M292" i="24"/>
  <c r="L293" i="24"/>
  <c r="M293" i="24"/>
  <c r="L294" i="24"/>
  <c r="M294" i="24"/>
  <c r="L295" i="24"/>
  <c r="M295" i="24"/>
  <c r="L296" i="24"/>
  <c r="M296" i="24"/>
  <c r="L297" i="24"/>
  <c r="M297" i="24"/>
  <c r="L298" i="24"/>
  <c r="M298" i="24"/>
  <c r="L299" i="24"/>
  <c r="M299" i="24"/>
  <c r="L300" i="24"/>
  <c r="M300" i="24"/>
  <c r="M301" i="24"/>
  <c r="L302" i="24"/>
  <c r="M302" i="24"/>
  <c r="L303" i="24"/>
  <c r="M303" i="24"/>
  <c r="L304" i="24"/>
  <c r="M304" i="24"/>
  <c r="L305" i="24"/>
  <c r="M305" i="24"/>
  <c r="L306" i="24"/>
  <c r="M306" i="24"/>
  <c r="L307" i="24"/>
  <c r="M307" i="24"/>
  <c r="L308" i="24"/>
  <c r="M308" i="24"/>
  <c r="L309" i="24"/>
  <c r="M309" i="24"/>
  <c r="L310" i="24"/>
  <c r="M310" i="24"/>
  <c r="L311" i="24"/>
  <c r="M311" i="24"/>
  <c r="L312" i="24"/>
  <c r="M312" i="24"/>
  <c r="L313" i="24"/>
  <c r="M313" i="24"/>
  <c r="L314" i="24"/>
  <c r="M314" i="24"/>
  <c r="L315" i="24"/>
  <c r="M315" i="24"/>
  <c r="L316" i="24"/>
  <c r="M316" i="24"/>
  <c r="L317" i="24"/>
  <c r="M317" i="24"/>
  <c r="L318" i="24"/>
  <c r="M318" i="24"/>
  <c r="L319" i="24"/>
  <c r="M319" i="24"/>
  <c r="L320" i="24"/>
  <c r="M320" i="24"/>
  <c r="L321" i="24"/>
  <c r="M321" i="24"/>
  <c r="L322" i="24"/>
  <c r="M322" i="24"/>
  <c r="L323" i="24"/>
  <c r="M323" i="24"/>
  <c r="L324" i="24"/>
  <c r="M324" i="24"/>
  <c r="L325" i="24"/>
  <c r="M325" i="24"/>
  <c r="L326" i="24"/>
  <c r="M326" i="24"/>
  <c r="L327" i="24"/>
  <c r="M327" i="24"/>
  <c r="L328" i="24"/>
  <c r="M328" i="24"/>
  <c r="L329" i="24"/>
  <c r="M329" i="24"/>
  <c r="L330" i="24"/>
  <c r="M330" i="24"/>
  <c r="L331" i="24"/>
  <c r="M331" i="24"/>
  <c r="L332" i="24"/>
  <c r="M332" i="24"/>
  <c r="L333" i="24"/>
  <c r="M333" i="24"/>
  <c r="L334" i="24"/>
  <c r="M334" i="24"/>
  <c r="L335" i="24"/>
  <c r="M335" i="24"/>
  <c r="L336" i="24"/>
  <c r="M336" i="24"/>
  <c r="L337" i="24"/>
  <c r="M337" i="24"/>
  <c r="L338" i="24"/>
  <c r="M338" i="24"/>
  <c r="L339" i="24"/>
  <c r="M339" i="24"/>
  <c r="L340" i="24"/>
  <c r="M340" i="24"/>
  <c r="L341" i="24"/>
  <c r="M341" i="24"/>
  <c r="L342" i="24"/>
  <c r="M342" i="24"/>
  <c r="L343" i="24"/>
  <c r="M343" i="24"/>
  <c r="L344" i="24"/>
  <c r="M344" i="24"/>
  <c r="L345" i="24"/>
  <c r="M345" i="24"/>
  <c r="L346" i="24"/>
  <c r="M346" i="24"/>
  <c r="L347" i="24"/>
  <c r="M347" i="24"/>
  <c r="L348" i="24"/>
  <c r="M348" i="24"/>
  <c r="L349" i="24"/>
  <c r="M349" i="24"/>
  <c r="L350" i="24"/>
  <c r="M350" i="24"/>
  <c r="L351" i="24"/>
  <c r="M351" i="24"/>
  <c r="L352" i="24"/>
  <c r="M352" i="24"/>
  <c r="L353" i="24"/>
  <c r="M353" i="24"/>
  <c r="L354" i="24"/>
  <c r="M354" i="24"/>
  <c r="L355" i="24"/>
  <c r="M355" i="24"/>
  <c r="L356" i="24"/>
  <c r="M356" i="24"/>
  <c r="L357" i="24"/>
  <c r="M357" i="24"/>
  <c r="L358" i="24"/>
  <c r="M358" i="24"/>
  <c r="L359" i="24"/>
  <c r="M359" i="24"/>
  <c r="L360" i="24"/>
  <c r="M360" i="24"/>
  <c r="L361" i="24"/>
  <c r="M361" i="24"/>
  <c r="L362" i="24"/>
  <c r="M362" i="24"/>
  <c r="L363" i="24"/>
  <c r="M363" i="24"/>
  <c r="L364" i="24"/>
  <c r="M364" i="24"/>
  <c r="L365" i="24"/>
  <c r="M365" i="24"/>
  <c r="L366" i="24"/>
  <c r="M366" i="24"/>
  <c r="L367" i="24"/>
  <c r="M367" i="24"/>
  <c r="L368" i="24"/>
  <c r="M368" i="24"/>
  <c r="L369" i="24"/>
  <c r="M369" i="24"/>
  <c r="L370" i="24"/>
  <c r="M370" i="24"/>
  <c r="U212" i="28"/>
  <c r="H194" i="28"/>
  <c r="H193" i="28"/>
  <c r="H192" i="28"/>
  <c r="H191" i="28"/>
  <c r="H190" i="28"/>
  <c r="H165" i="28"/>
  <c r="L372" i="24"/>
  <c r="L373" i="24"/>
  <c r="E422" i="24"/>
  <c r="E423" i="24"/>
  <c r="E424" i="24"/>
  <c r="E425" i="24"/>
  <c r="E426" i="24"/>
  <c r="D3" i="25"/>
  <c r="E3" i="25"/>
  <c r="F3" i="25"/>
  <c r="G3" i="25"/>
  <c r="H3" i="25"/>
  <c r="I3" i="25"/>
  <c r="J3" i="25"/>
  <c r="K3" i="25"/>
  <c r="L3" i="25"/>
  <c r="M3" i="25"/>
  <c r="N3" i="25"/>
  <c r="O3" i="25"/>
  <c r="P3" i="25"/>
  <c r="J10" i="26"/>
  <c r="G10" i="29"/>
  <c r="N10" i="29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J11" i="26"/>
  <c r="G11" i="29"/>
  <c r="N11" i="29"/>
  <c r="H347" i="28"/>
  <c r="H346" i="28"/>
  <c r="H345" i="28"/>
  <c r="M309" i="28"/>
  <c r="H189" i="28"/>
  <c r="H188" i="28"/>
  <c r="H187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89" i="28"/>
  <c r="U179" i="28"/>
  <c r="U181" i="28"/>
  <c r="U182" i="28"/>
  <c r="H344" i="28"/>
  <c r="H342" i="28"/>
  <c r="H339" i="28"/>
  <c r="H343" i="28"/>
  <c r="H340" i="28"/>
  <c r="H341" i="28"/>
  <c r="U140" i="28"/>
  <c r="U142" i="28"/>
  <c r="U143" i="28"/>
  <c r="L37" i="29"/>
  <c r="L36" i="29"/>
  <c r="D60" i="27"/>
  <c r="L35" i="29"/>
  <c r="D56" i="27"/>
  <c r="L34" i="29"/>
  <c r="L33" i="29"/>
  <c r="L32" i="29"/>
  <c r="L31" i="29"/>
  <c r="L30" i="29"/>
  <c r="L29" i="29"/>
  <c r="L28" i="29"/>
  <c r="L24" i="29"/>
  <c r="L18" i="29"/>
  <c r="L17" i="29"/>
  <c r="L11" i="29"/>
  <c r="L10" i="29"/>
  <c r="F53" i="27"/>
  <c r="U91" i="28"/>
  <c r="D5" i="30"/>
  <c r="D6" i="30"/>
  <c r="D7" i="30"/>
  <c r="D8" i="30"/>
  <c r="D9" i="30"/>
  <c r="D11" i="30"/>
  <c r="D13" i="30"/>
  <c r="D16" i="30"/>
  <c r="D17" i="30"/>
  <c r="D18" i="30"/>
  <c r="D29" i="30"/>
  <c r="D30" i="30"/>
  <c r="D31" i="30"/>
  <c r="D33" i="30"/>
  <c r="D36" i="30"/>
  <c r="D37" i="30"/>
  <c r="D38" i="30"/>
  <c r="C40" i="30"/>
  <c r="D40" i="30"/>
  <c r="E5" i="30"/>
  <c r="E6" i="30"/>
  <c r="E7" i="30"/>
  <c r="E8" i="30"/>
  <c r="E9" i="30"/>
  <c r="E11" i="30"/>
  <c r="E13" i="30"/>
  <c r="E16" i="30"/>
  <c r="E17" i="30"/>
  <c r="E18" i="30"/>
  <c r="E29" i="30"/>
  <c r="E30" i="30"/>
  <c r="E31" i="30"/>
  <c r="E33" i="30"/>
  <c r="E36" i="30"/>
  <c r="E37" i="30"/>
  <c r="E38" i="30"/>
  <c r="E40" i="30"/>
  <c r="F5" i="30"/>
  <c r="F6" i="30"/>
  <c r="F7" i="30"/>
  <c r="F8" i="30"/>
  <c r="F9" i="30"/>
  <c r="F11" i="30"/>
  <c r="F13" i="30"/>
  <c r="F16" i="30"/>
  <c r="F17" i="30"/>
  <c r="F18" i="30"/>
  <c r="F29" i="30"/>
  <c r="F30" i="30"/>
  <c r="F31" i="30"/>
  <c r="F33" i="30"/>
  <c r="F36" i="30"/>
  <c r="F37" i="30"/>
  <c r="F38" i="30"/>
  <c r="D28" i="25"/>
  <c r="D40" i="25"/>
  <c r="E28" i="25"/>
  <c r="E40" i="25"/>
  <c r="F28" i="25"/>
  <c r="F40" i="25"/>
  <c r="G28" i="25"/>
  <c r="G40" i="25"/>
  <c r="H28" i="25"/>
  <c r="H40" i="25"/>
  <c r="I28" i="25"/>
  <c r="I40" i="25"/>
  <c r="J28" i="25"/>
  <c r="J40" i="25"/>
  <c r="K28" i="25"/>
  <c r="K40" i="25"/>
  <c r="L28" i="25"/>
  <c r="L40" i="25"/>
  <c r="M28" i="25"/>
  <c r="M40" i="25"/>
  <c r="N28" i="25"/>
  <c r="N40" i="25"/>
  <c r="O28" i="25"/>
  <c r="O40" i="25"/>
  <c r="D28" i="20"/>
  <c r="D40" i="20"/>
  <c r="E28" i="20"/>
  <c r="E40" i="20"/>
  <c r="F28" i="20"/>
  <c r="F40" i="20"/>
  <c r="G28" i="20"/>
  <c r="G40" i="20"/>
  <c r="H28" i="20"/>
  <c r="H40" i="20"/>
  <c r="I28" i="20"/>
  <c r="I40" i="20"/>
  <c r="J28" i="20"/>
  <c r="J40" i="20"/>
  <c r="K28" i="20"/>
  <c r="K40" i="20"/>
  <c r="L28" i="20"/>
  <c r="L40" i="20"/>
  <c r="M28" i="20"/>
  <c r="M40" i="20"/>
  <c r="N28" i="20"/>
  <c r="N40" i="20"/>
  <c r="O28" i="20"/>
  <c r="O40" i="20"/>
  <c r="P40" i="20"/>
  <c r="P41" i="20"/>
  <c r="R41" i="20"/>
  <c r="C40" i="25"/>
  <c r="P40" i="25"/>
  <c r="P41" i="25"/>
  <c r="C41" i="30"/>
  <c r="F40" i="30"/>
  <c r="G5" i="30"/>
  <c r="G6" i="30"/>
  <c r="G7" i="30"/>
  <c r="G9" i="30"/>
  <c r="G11" i="30"/>
  <c r="G13" i="30"/>
  <c r="G16" i="30"/>
  <c r="G17" i="30"/>
  <c r="G18" i="30"/>
  <c r="G29" i="30"/>
  <c r="G30" i="30"/>
  <c r="G31" i="30"/>
  <c r="G33" i="30"/>
  <c r="G36" i="30"/>
  <c r="G37" i="30"/>
  <c r="G38" i="30"/>
  <c r="D41" i="30"/>
  <c r="H36" i="30"/>
  <c r="I36" i="30"/>
  <c r="J36" i="30"/>
  <c r="K36" i="30"/>
  <c r="L36" i="30"/>
  <c r="M36" i="30"/>
  <c r="N36" i="30"/>
  <c r="O36" i="30"/>
  <c r="P36" i="30"/>
  <c r="H37" i="30"/>
  <c r="I37" i="30"/>
  <c r="J37" i="30"/>
  <c r="K37" i="30"/>
  <c r="L37" i="30"/>
  <c r="M37" i="30"/>
  <c r="N37" i="30"/>
  <c r="O37" i="30"/>
  <c r="P37" i="30"/>
  <c r="P38" i="30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P37" i="25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P37" i="20"/>
  <c r="R37" i="20"/>
  <c r="C37" i="25"/>
  <c r="R37" i="25"/>
  <c r="C38" i="30"/>
  <c r="R38" i="30"/>
  <c r="I51" i="29"/>
  <c r="H332" i="28"/>
  <c r="H333" i="28"/>
  <c r="H334" i="28"/>
  <c r="H335" i="28"/>
  <c r="H336" i="28"/>
  <c r="H358" i="28"/>
  <c r="H359" i="28"/>
  <c r="H309" i="28"/>
  <c r="H378" i="28"/>
  <c r="G40" i="30"/>
  <c r="H5" i="30"/>
  <c r="H6" i="30"/>
  <c r="H7" i="30"/>
  <c r="H8" i="30"/>
  <c r="H9" i="30"/>
  <c r="H11" i="30"/>
  <c r="H13" i="30"/>
  <c r="H16" i="30"/>
  <c r="H17" i="30"/>
  <c r="H18" i="30"/>
  <c r="H29" i="30"/>
  <c r="H30" i="30"/>
  <c r="H31" i="30"/>
  <c r="H33" i="30"/>
  <c r="H38" i="30"/>
  <c r="E41" i="30"/>
  <c r="I365" i="28"/>
  <c r="I366" i="28"/>
  <c r="H40" i="30"/>
  <c r="I5" i="30"/>
  <c r="I6" i="30"/>
  <c r="I7" i="30"/>
  <c r="I8" i="30"/>
  <c r="I9" i="30"/>
  <c r="I11" i="30"/>
  <c r="I13" i="30"/>
  <c r="I16" i="30"/>
  <c r="I17" i="30"/>
  <c r="I18" i="30"/>
  <c r="I29" i="30"/>
  <c r="I30" i="30"/>
  <c r="I31" i="30"/>
  <c r="I33" i="30"/>
  <c r="I38" i="30"/>
  <c r="F41" i="30"/>
  <c r="J31" i="28"/>
  <c r="I40" i="30"/>
  <c r="J5" i="30"/>
  <c r="J6" i="30"/>
  <c r="J7" i="30"/>
  <c r="J8" i="30"/>
  <c r="J9" i="30"/>
  <c r="J11" i="30"/>
  <c r="J13" i="30"/>
  <c r="J16" i="30"/>
  <c r="J17" i="30"/>
  <c r="J18" i="30"/>
  <c r="J29" i="30"/>
  <c r="J30" i="30"/>
  <c r="J31" i="30"/>
  <c r="J33" i="30"/>
  <c r="J38" i="30"/>
  <c r="G41" i="30"/>
  <c r="J40" i="30"/>
  <c r="K5" i="30"/>
  <c r="K6" i="30"/>
  <c r="K7" i="30"/>
  <c r="K8" i="30"/>
  <c r="K9" i="30"/>
  <c r="K11" i="30"/>
  <c r="K13" i="30"/>
  <c r="K16" i="30"/>
  <c r="K17" i="30"/>
  <c r="K18" i="30"/>
  <c r="K29" i="30"/>
  <c r="K30" i="30"/>
  <c r="K31" i="30"/>
  <c r="K33" i="30"/>
  <c r="K38" i="30"/>
  <c r="H41" i="30"/>
  <c r="K40" i="30"/>
  <c r="L5" i="30"/>
  <c r="L6" i="30"/>
  <c r="L7" i="30"/>
  <c r="L8" i="30"/>
  <c r="L9" i="30"/>
  <c r="L11" i="30"/>
  <c r="L13" i="30"/>
  <c r="L16" i="30"/>
  <c r="L17" i="30"/>
  <c r="L18" i="30"/>
  <c r="L29" i="30"/>
  <c r="L30" i="30"/>
  <c r="L31" i="30"/>
  <c r="L33" i="30"/>
  <c r="L38" i="30"/>
  <c r="I41" i="30"/>
  <c r="M313" i="28"/>
  <c r="M318" i="28"/>
  <c r="M374" i="28"/>
  <c r="L40" i="30"/>
  <c r="M5" i="30"/>
  <c r="M6" i="30"/>
  <c r="M7" i="30"/>
  <c r="M8" i="30"/>
  <c r="M9" i="30"/>
  <c r="M11" i="30"/>
  <c r="M13" i="30"/>
  <c r="M16" i="30"/>
  <c r="M17" i="30"/>
  <c r="M18" i="30"/>
  <c r="M29" i="30"/>
  <c r="M30" i="30"/>
  <c r="M31" i="30"/>
  <c r="M33" i="30"/>
  <c r="M38" i="30"/>
  <c r="J41" i="30"/>
  <c r="M40" i="30"/>
  <c r="N5" i="30"/>
  <c r="N6" i="30"/>
  <c r="N7" i="30"/>
  <c r="N8" i="30"/>
  <c r="N9" i="30"/>
  <c r="N11" i="30"/>
  <c r="N13" i="30"/>
  <c r="N16" i="30"/>
  <c r="N17" i="30"/>
  <c r="N18" i="30"/>
  <c r="N29" i="30"/>
  <c r="N30" i="30"/>
  <c r="N31" i="30"/>
  <c r="N33" i="30"/>
  <c r="N38" i="30"/>
  <c r="K41" i="30"/>
  <c r="O13" i="28"/>
  <c r="O15" i="28"/>
  <c r="N40" i="30"/>
  <c r="O5" i="30"/>
  <c r="O6" i="30"/>
  <c r="O7" i="30"/>
  <c r="O8" i="30"/>
  <c r="O9" i="30"/>
  <c r="O11" i="30"/>
  <c r="O13" i="30"/>
  <c r="O16" i="30"/>
  <c r="O17" i="30"/>
  <c r="O18" i="30"/>
  <c r="O29" i="30"/>
  <c r="O30" i="30"/>
  <c r="O31" i="30"/>
  <c r="O33" i="30"/>
  <c r="O38" i="30"/>
  <c r="L41" i="30"/>
  <c r="O40" i="30"/>
  <c r="U101" i="28"/>
  <c r="U103" i="28"/>
  <c r="U104" i="28"/>
  <c r="U52" i="28"/>
  <c r="U54" i="28"/>
  <c r="U55" i="28"/>
  <c r="P40" i="30"/>
  <c r="I46" i="29"/>
  <c r="M41" i="30"/>
  <c r="N41" i="30"/>
  <c r="O41" i="30"/>
  <c r="P41" i="30"/>
  <c r="P42" i="30"/>
  <c r="I47" i="29"/>
  <c r="I49" i="29"/>
  <c r="I52" i="29"/>
  <c r="P5" i="30"/>
  <c r="I12" i="29"/>
  <c r="P11" i="30"/>
  <c r="P7" i="30"/>
  <c r="I19" i="29"/>
  <c r="P44" i="30"/>
  <c r="I17" i="29"/>
  <c r="I21" i="29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I25" i="29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I26" i="29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I27" i="29"/>
  <c r="I41" i="29"/>
  <c r="I56" i="29"/>
  <c r="I57" i="29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J12" i="26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J18" i="26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J19" i="26"/>
  <c r="P43" i="25"/>
  <c r="J17" i="26"/>
  <c r="J21" i="26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J24" i="26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J28" i="26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J29" i="26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J30" i="26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J31" i="26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J32" i="26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J33" i="26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J34" i="26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J35" i="26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J36" i="26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J37" i="26"/>
  <c r="J25" i="26"/>
  <c r="J26" i="26"/>
  <c r="J27" i="26"/>
  <c r="J39" i="26"/>
  <c r="J41" i="26"/>
  <c r="J56" i="26"/>
  <c r="G56" i="29"/>
  <c r="J57" i="26"/>
  <c r="G57" i="29"/>
  <c r="D3" i="20"/>
  <c r="E3" i="20"/>
  <c r="F3" i="20"/>
  <c r="G3" i="20"/>
  <c r="H3" i="20"/>
  <c r="I3" i="20"/>
  <c r="J3" i="20"/>
  <c r="K3" i="20"/>
  <c r="L3" i="20"/>
  <c r="M3" i="20"/>
  <c r="N3" i="20"/>
  <c r="O3" i="20"/>
  <c r="P3" i="20"/>
  <c r="I10" i="1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I11" i="1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I12" i="1"/>
  <c r="P43" i="20"/>
  <c r="I17" i="1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I18" i="1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I19" i="1"/>
  <c r="I21" i="1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I24" i="1"/>
  <c r="I25" i="1"/>
  <c r="I26" i="1"/>
  <c r="I27" i="1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I28" i="1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I29" i="1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I30" i="1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I31" i="1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I32" i="1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I33" i="1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I34" i="1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I35" i="1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I36" i="1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I37" i="1"/>
  <c r="I39" i="1"/>
  <c r="I41" i="1"/>
  <c r="I57" i="1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G14" i="1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G15" i="1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G16" i="1"/>
  <c r="G21" i="1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G25" i="1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G26" i="1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G27" i="1"/>
  <c r="G39" i="1"/>
  <c r="G41" i="1"/>
  <c r="G57" i="1"/>
  <c r="G59" i="1"/>
  <c r="I55" i="1"/>
  <c r="I58" i="1"/>
  <c r="I59" i="1"/>
  <c r="H58" i="26"/>
  <c r="J54" i="26"/>
  <c r="G54" i="29"/>
  <c r="G58" i="29"/>
  <c r="I54" i="29"/>
  <c r="I58" i="29"/>
  <c r="G60" i="1"/>
  <c r="I56" i="1"/>
  <c r="I60" i="1"/>
  <c r="H59" i="26"/>
  <c r="J55" i="26"/>
  <c r="J59" i="26"/>
  <c r="G59" i="29"/>
  <c r="I55" i="29"/>
  <c r="I59" i="29"/>
  <c r="I60" i="29"/>
  <c r="G55" i="29"/>
  <c r="J51" i="26"/>
  <c r="G51" i="29"/>
  <c r="J47" i="26"/>
  <c r="G47" i="29"/>
  <c r="D6" i="25"/>
  <c r="D8" i="25"/>
  <c r="D9" i="25"/>
  <c r="D12" i="25"/>
  <c r="D15" i="25"/>
  <c r="D16" i="25"/>
  <c r="D17" i="25"/>
  <c r="D29" i="25"/>
  <c r="D30" i="25"/>
  <c r="D32" i="25"/>
  <c r="D37" i="25"/>
  <c r="C39" i="25"/>
  <c r="D39" i="25"/>
  <c r="E6" i="25"/>
  <c r="E8" i="25"/>
  <c r="E9" i="25"/>
  <c r="E12" i="25"/>
  <c r="E15" i="25"/>
  <c r="E16" i="25"/>
  <c r="E17" i="25"/>
  <c r="E29" i="25"/>
  <c r="E30" i="25"/>
  <c r="E32" i="25"/>
  <c r="E37" i="25"/>
  <c r="E39" i="25"/>
  <c r="F6" i="25"/>
  <c r="F8" i="25"/>
  <c r="F9" i="25"/>
  <c r="F12" i="25"/>
  <c r="F15" i="25"/>
  <c r="F16" i="25"/>
  <c r="F17" i="25"/>
  <c r="F29" i="25"/>
  <c r="F30" i="25"/>
  <c r="F32" i="25"/>
  <c r="F37" i="25"/>
  <c r="F39" i="25"/>
  <c r="G6" i="25"/>
  <c r="G9" i="25"/>
  <c r="G12" i="25"/>
  <c r="G15" i="25"/>
  <c r="G16" i="25"/>
  <c r="G17" i="25"/>
  <c r="G29" i="25"/>
  <c r="G30" i="25"/>
  <c r="G32" i="25"/>
  <c r="G37" i="25"/>
  <c r="G39" i="25"/>
  <c r="H6" i="25"/>
  <c r="H8" i="25"/>
  <c r="H9" i="25"/>
  <c r="H12" i="25"/>
  <c r="H15" i="25"/>
  <c r="H16" i="25"/>
  <c r="H17" i="25"/>
  <c r="H29" i="25"/>
  <c r="H30" i="25"/>
  <c r="H32" i="25"/>
  <c r="H37" i="25"/>
  <c r="H39" i="25"/>
  <c r="I6" i="25"/>
  <c r="I8" i="25"/>
  <c r="I9" i="25"/>
  <c r="I12" i="25"/>
  <c r="I15" i="25"/>
  <c r="I16" i="25"/>
  <c r="I17" i="25"/>
  <c r="I29" i="25"/>
  <c r="I30" i="25"/>
  <c r="I32" i="25"/>
  <c r="I37" i="25"/>
  <c r="I39" i="25"/>
  <c r="J6" i="25"/>
  <c r="J8" i="25"/>
  <c r="J9" i="25"/>
  <c r="J12" i="25"/>
  <c r="J15" i="25"/>
  <c r="J16" i="25"/>
  <c r="J17" i="25"/>
  <c r="J29" i="25"/>
  <c r="J30" i="25"/>
  <c r="J32" i="25"/>
  <c r="J37" i="25"/>
  <c r="J39" i="25"/>
  <c r="K6" i="25"/>
  <c r="K8" i="25"/>
  <c r="K9" i="25"/>
  <c r="K12" i="25"/>
  <c r="K15" i="25"/>
  <c r="K16" i="25"/>
  <c r="K17" i="25"/>
  <c r="K29" i="25"/>
  <c r="K30" i="25"/>
  <c r="K32" i="25"/>
  <c r="K37" i="25"/>
  <c r="K39" i="25"/>
  <c r="L6" i="25"/>
  <c r="L8" i="25"/>
  <c r="L9" i="25"/>
  <c r="L12" i="25"/>
  <c r="L15" i="25"/>
  <c r="L16" i="25"/>
  <c r="L17" i="25"/>
  <c r="L29" i="25"/>
  <c r="L30" i="25"/>
  <c r="L32" i="25"/>
  <c r="L37" i="25"/>
  <c r="L39" i="25"/>
  <c r="M6" i="25"/>
  <c r="M8" i="25"/>
  <c r="M9" i="25"/>
  <c r="M12" i="25"/>
  <c r="M15" i="25"/>
  <c r="M16" i="25"/>
  <c r="M17" i="25"/>
  <c r="M29" i="25"/>
  <c r="M30" i="25"/>
  <c r="M32" i="25"/>
  <c r="M37" i="25"/>
  <c r="M39" i="25"/>
  <c r="N6" i="25"/>
  <c r="N8" i="25"/>
  <c r="N9" i="25"/>
  <c r="N12" i="25"/>
  <c r="N15" i="25"/>
  <c r="N16" i="25"/>
  <c r="N17" i="25"/>
  <c r="N29" i="25"/>
  <c r="N30" i="25"/>
  <c r="N32" i="25"/>
  <c r="N37" i="25"/>
  <c r="N39" i="25"/>
  <c r="O6" i="25"/>
  <c r="O8" i="25"/>
  <c r="O9" i="25"/>
  <c r="O12" i="25"/>
  <c r="O15" i="25"/>
  <c r="O16" i="25"/>
  <c r="O17" i="25"/>
  <c r="O29" i="25"/>
  <c r="O30" i="25"/>
  <c r="O32" i="25"/>
  <c r="O37" i="25"/>
  <c r="O39" i="25"/>
  <c r="P39" i="25"/>
  <c r="J46" i="26"/>
  <c r="G46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19" i="29"/>
  <c r="G18" i="29"/>
  <c r="G17" i="29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J16" i="26"/>
  <c r="G16" i="29"/>
  <c r="D7" i="18"/>
  <c r="E7" i="18"/>
  <c r="F7" i="18"/>
  <c r="G7" i="18"/>
  <c r="H7" i="18"/>
  <c r="K195" i="17"/>
  <c r="I7" i="18"/>
  <c r="J7" i="18"/>
  <c r="K7" i="18"/>
  <c r="L7" i="18"/>
  <c r="M7" i="18"/>
  <c r="N7" i="18"/>
  <c r="O7" i="18"/>
  <c r="P7" i="18"/>
  <c r="J15" i="26"/>
  <c r="G15" i="29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J14" i="26"/>
  <c r="G14" i="29"/>
  <c r="G13" i="29"/>
  <c r="G12" i="29"/>
  <c r="C47" i="30"/>
  <c r="D43" i="30"/>
  <c r="D45" i="30"/>
  <c r="D47" i="30"/>
  <c r="E45" i="30"/>
  <c r="E47" i="30"/>
  <c r="F45" i="30"/>
  <c r="F47" i="30"/>
  <c r="G45" i="30"/>
  <c r="G47" i="30"/>
  <c r="H45" i="30"/>
  <c r="H47" i="30"/>
  <c r="I45" i="30"/>
  <c r="I47" i="30"/>
  <c r="J45" i="30"/>
  <c r="J47" i="30"/>
  <c r="K45" i="30"/>
  <c r="K47" i="30"/>
  <c r="L45" i="30"/>
  <c r="L47" i="30"/>
  <c r="M45" i="30"/>
  <c r="M47" i="30"/>
  <c r="N45" i="30"/>
  <c r="N47" i="30"/>
  <c r="O45" i="30"/>
  <c r="O47" i="30"/>
  <c r="P47" i="30"/>
  <c r="P43" i="30"/>
  <c r="P45" i="30"/>
  <c r="Q13" i="30"/>
  <c r="Q31" i="30"/>
  <c r="Q33" i="30"/>
  <c r="P6" i="30"/>
  <c r="P8" i="30"/>
  <c r="P9" i="30"/>
  <c r="P13" i="30"/>
  <c r="P16" i="30"/>
  <c r="P17" i="30"/>
  <c r="P18" i="30"/>
  <c r="P29" i="30"/>
  <c r="P30" i="30"/>
  <c r="P31" i="30"/>
  <c r="P33" i="30"/>
  <c r="G60" i="29"/>
  <c r="K10" i="6"/>
  <c r="K14" i="6"/>
  <c r="K15" i="6"/>
  <c r="K17" i="6"/>
  <c r="K8" i="6"/>
  <c r="K9" i="6"/>
  <c r="K11" i="6"/>
  <c r="K12" i="6"/>
  <c r="K13" i="6"/>
  <c r="K16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H250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H358" i="6"/>
  <c r="J358" i="6"/>
  <c r="K358" i="6"/>
  <c r="D3" i="3"/>
  <c r="E3" i="3"/>
  <c r="F3" i="3"/>
  <c r="G3" i="3"/>
  <c r="H3" i="3"/>
  <c r="I3" i="3"/>
  <c r="J3" i="3"/>
  <c r="K3" i="3"/>
  <c r="L3" i="3"/>
  <c r="M3" i="3"/>
  <c r="N3" i="3"/>
  <c r="O3" i="3"/>
  <c r="P3" i="3"/>
  <c r="E10" i="29"/>
  <c r="D4" i="3"/>
  <c r="E4" i="3"/>
  <c r="F4" i="3"/>
  <c r="G4" i="3"/>
  <c r="H4" i="3"/>
  <c r="I4" i="3"/>
  <c r="J4" i="3"/>
  <c r="K4" i="3"/>
  <c r="L4" i="3"/>
  <c r="M4" i="3"/>
  <c r="N4" i="3"/>
  <c r="O4" i="3"/>
  <c r="P4" i="3"/>
  <c r="E11" i="29"/>
  <c r="D5" i="3"/>
  <c r="E5" i="3"/>
  <c r="F5" i="3"/>
  <c r="G5" i="3"/>
  <c r="H5" i="3"/>
  <c r="I5" i="3"/>
  <c r="J5" i="3"/>
  <c r="K5" i="3"/>
  <c r="L5" i="3"/>
  <c r="M5" i="3"/>
  <c r="N5" i="3"/>
  <c r="O5" i="3"/>
  <c r="P5" i="3"/>
  <c r="E12" i="29"/>
  <c r="D6" i="3"/>
  <c r="E6" i="3"/>
  <c r="F6" i="3"/>
  <c r="G6" i="3"/>
  <c r="H6" i="3"/>
  <c r="I6" i="3"/>
  <c r="J6" i="3"/>
  <c r="K6" i="3"/>
  <c r="L6" i="3"/>
  <c r="M6" i="3"/>
  <c r="N6" i="3"/>
  <c r="O6" i="3"/>
  <c r="P6" i="3"/>
  <c r="E14" i="29"/>
  <c r="D7" i="3"/>
  <c r="E7" i="3"/>
  <c r="F7" i="3"/>
  <c r="G7" i="3"/>
  <c r="H7" i="3"/>
  <c r="I7" i="3"/>
  <c r="J7" i="3"/>
  <c r="K7" i="3"/>
  <c r="L7" i="3"/>
  <c r="M7" i="3"/>
  <c r="N7" i="3"/>
  <c r="O7" i="3"/>
  <c r="P7" i="3"/>
  <c r="E15" i="29"/>
  <c r="D9" i="3"/>
  <c r="E9" i="3"/>
  <c r="F9" i="3"/>
  <c r="G9" i="3"/>
  <c r="H9" i="3"/>
  <c r="I9" i="3"/>
  <c r="J9" i="3"/>
  <c r="K9" i="3"/>
  <c r="L9" i="3"/>
  <c r="M9" i="3"/>
  <c r="N9" i="3"/>
  <c r="O9" i="3"/>
  <c r="P9" i="3"/>
  <c r="E16" i="29"/>
  <c r="D8" i="3"/>
  <c r="E8" i="3"/>
  <c r="F8" i="3"/>
  <c r="G8" i="3"/>
  <c r="H8" i="3"/>
  <c r="I8" i="3"/>
  <c r="J8" i="3"/>
  <c r="K8" i="3"/>
  <c r="L8" i="3"/>
  <c r="M8" i="3"/>
  <c r="N8" i="3"/>
  <c r="O8" i="3"/>
  <c r="P8" i="3"/>
  <c r="D41" i="3"/>
  <c r="P41" i="3"/>
  <c r="E17" i="29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E18" i="29"/>
  <c r="E21" i="29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E24" i="29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E25" i="29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E26" i="29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E27" i="29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E28" i="29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E29" i="29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E30" i="29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E31" i="29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E32" i="29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E33" i="29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E34" i="29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E35" i="29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E36" i="29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E37" i="29"/>
  <c r="E39" i="29"/>
  <c r="E41" i="29"/>
  <c r="E56" i="29"/>
  <c r="C12" i="29"/>
  <c r="C21" i="29"/>
  <c r="C37" i="29"/>
  <c r="C39" i="29"/>
  <c r="C41" i="29"/>
  <c r="C56" i="29"/>
  <c r="C58" i="29"/>
  <c r="E54" i="29"/>
  <c r="E58" i="29"/>
  <c r="G49" i="29"/>
  <c r="G52" i="29"/>
  <c r="C38" i="3"/>
  <c r="D12" i="3"/>
  <c r="D27" i="3"/>
  <c r="D28" i="3"/>
  <c r="D29" i="3"/>
  <c r="D31" i="3"/>
  <c r="D34" i="3"/>
  <c r="D35" i="3"/>
  <c r="D36" i="3"/>
  <c r="D38" i="3"/>
  <c r="E12" i="3"/>
  <c r="E27" i="3"/>
  <c r="E28" i="3"/>
  <c r="E29" i="3"/>
  <c r="E31" i="3"/>
  <c r="E34" i="3"/>
  <c r="E35" i="3"/>
  <c r="E36" i="3"/>
  <c r="E38" i="3"/>
  <c r="F12" i="3"/>
  <c r="F27" i="3"/>
  <c r="F28" i="3"/>
  <c r="F29" i="3"/>
  <c r="F31" i="3"/>
  <c r="F34" i="3"/>
  <c r="F35" i="3"/>
  <c r="F36" i="3"/>
  <c r="F38" i="3"/>
  <c r="G12" i="3"/>
  <c r="G27" i="3"/>
  <c r="G28" i="3"/>
  <c r="G29" i="3"/>
  <c r="G31" i="3"/>
  <c r="G34" i="3"/>
  <c r="G35" i="3"/>
  <c r="G36" i="3"/>
  <c r="G38" i="3"/>
  <c r="H12" i="3"/>
  <c r="H27" i="3"/>
  <c r="H28" i="3"/>
  <c r="H29" i="3"/>
  <c r="H31" i="3"/>
  <c r="H34" i="3"/>
  <c r="H35" i="3"/>
  <c r="H36" i="3"/>
  <c r="H38" i="3"/>
  <c r="I12" i="3"/>
  <c r="I27" i="3"/>
  <c r="I28" i="3"/>
  <c r="I29" i="3"/>
  <c r="I31" i="3"/>
  <c r="I34" i="3"/>
  <c r="I35" i="3"/>
  <c r="I36" i="3"/>
  <c r="I38" i="3"/>
  <c r="J12" i="3"/>
  <c r="J27" i="3"/>
  <c r="J28" i="3"/>
  <c r="J29" i="3"/>
  <c r="J31" i="3"/>
  <c r="J34" i="3"/>
  <c r="J35" i="3"/>
  <c r="J36" i="3"/>
  <c r="J38" i="3"/>
  <c r="K12" i="3"/>
  <c r="K27" i="3"/>
  <c r="K28" i="3"/>
  <c r="K29" i="3"/>
  <c r="K31" i="3"/>
  <c r="K34" i="3"/>
  <c r="K35" i="3"/>
  <c r="K36" i="3"/>
  <c r="K38" i="3"/>
  <c r="L12" i="3"/>
  <c r="L27" i="3"/>
  <c r="L28" i="3"/>
  <c r="L29" i="3"/>
  <c r="L31" i="3"/>
  <c r="L34" i="3"/>
  <c r="L35" i="3"/>
  <c r="L36" i="3"/>
  <c r="L38" i="3"/>
  <c r="M12" i="3"/>
  <c r="M27" i="3"/>
  <c r="M28" i="3"/>
  <c r="M29" i="3"/>
  <c r="M31" i="3"/>
  <c r="M34" i="3"/>
  <c r="M35" i="3"/>
  <c r="M36" i="3"/>
  <c r="M38" i="3"/>
  <c r="N12" i="3"/>
  <c r="N27" i="3"/>
  <c r="N28" i="3"/>
  <c r="N29" i="3"/>
  <c r="N31" i="3"/>
  <c r="N34" i="3"/>
  <c r="N35" i="3"/>
  <c r="N36" i="3"/>
  <c r="N38" i="3"/>
  <c r="O12" i="3"/>
  <c r="O27" i="3"/>
  <c r="O28" i="3"/>
  <c r="O29" i="3"/>
  <c r="O31" i="3"/>
  <c r="O34" i="3"/>
  <c r="O35" i="3"/>
  <c r="O36" i="3"/>
  <c r="O38" i="3"/>
  <c r="E46" i="29"/>
  <c r="E49" i="29"/>
  <c r="C36" i="3"/>
  <c r="P34" i="3"/>
  <c r="P35" i="3"/>
  <c r="P36" i="3"/>
  <c r="R36" i="3"/>
  <c r="E51" i="29"/>
  <c r="E52" i="29"/>
  <c r="C49" i="29"/>
  <c r="C52" i="29"/>
  <c r="L21" i="29"/>
  <c r="L39" i="29"/>
  <c r="L41" i="29"/>
  <c r="G21" i="29"/>
  <c r="G39" i="29"/>
  <c r="G41" i="29"/>
  <c r="I16" i="29"/>
  <c r="I15" i="29"/>
  <c r="I14" i="29"/>
  <c r="M422" i="24"/>
  <c r="I413" i="24"/>
  <c r="H396" i="24"/>
  <c r="H401" i="24"/>
  <c r="H395" i="24"/>
  <c r="V368" i="24"/>
  <c r="V369" i="24"/>
  <c r="V370" i="24"/>
  <c r="H426" i="24"/>
  <c r="D66" i="27"/>
  <c r="G30" i="27"/>
  <c r="V343" i="24"/>
  <c r="V344" i="24"/>
  <c r="V345" i="24"/>
  <c r="H394" i="24"/>
  <c r="H397" i="24"/>
  <c r="H398" i="24"/>
  <c r="H406" i="24"/>
  <c r="V314" i="24"/>
  <c r="V315" i="24"/>
  <c r="V316" i="24"/>
  <c r="I414" i="24"/>
  <c r="H407" i="24"/>
  <c r="V292" i="24"/>
  <c r="V293" i="24"/>
  <c r="V294" i="24"/>
  <c r="T260" i="24"/>
  <c r="T274" i="24"/>
  <c r="T275" i="24"/>
  <c r="T241" i="24"/>
  <c r="T246" i="24"/>
  <c r="T251" i="24"/>
  <c r="T214" i="24"/>
  <c r="T219" i="24"/>
  <c r="T224" i="24"/>
  <c r="T195" i="24"/>
  <c r="W168" i="24"/>
  <c r="W158" i="24"/>
  <c r="W175" i="24"/>
  <c r="J58" i="26"/>
  <c r="J60" i="26"/>
  <c r="W128" i="24"/>
  <c r="W140" i="24"/>
  <c r="W142" i="24"/>
  <c r="W103" i="24"/>
  <c r="W110" i="24"/>
  <c r="W113" i="24"/>
  <c r="W115" i="24"/>
  <c r="G30" i="23"/>
  <c r="W75" i="24"/>
  <c r="W84" i="24"/>
  <c r="W86" i="24"/>
  <c r="M342" i="19"/>
  <c r="M350" i="19"/>
  <c r="M352" i="19"/>
  <c r="Q351" i="19"/>
  <c r="I374" i="19"/>
  <c r="H374" i="19"/>
  <c r="V314" i="19"/>
  <c r="V322" i="19"/>
  <c r="V324" i="19"/>
  <c r="J37" i="24"/>
  <c r="H57" i="26"/>
  <c r="H56" i="26"/>
  <c r="H55" i="26"/>
  <c r="H54" i="26"/>
  <c r="I52" i="1"/>
  <c r="H51" i="26"/>
  <c r="I47" i="1"/>
  <c r="H47" i="26"/>
  <c r="D6" i="20"/>
  <c r="D8" i="20"/>
  <c r="D9" i="20"/>
  <c r="D12" i="20"/>
  <c r="D15" i="20"/>
  <c r="D16" i="20"/>
  <c r="D17" i="20"/>
  <c r="D29" i="20"/>
  <c r="D30" i="20"/>
  <c r="D32" i="20"/>
  <c r="D37" i="20"/>
  <c r="D39" i="20"/>
  <c r="E6" i="20"/>
  <c r="E8" i="20"/>
  <c r="E9" i="20"/>
  <c r="E12" i="20"/>
  <c r="E15" i="20"/>
  <c r="E16" i="20"/>
  <c r="E17" i="20"/>
  <c r="E29" i="20"/>
  <c r="E30" i="20"/>
  <c r="E32" i="20"/>
  <c r="E37" i="20"/>
  <c r="E39" i="20"/>
  <c r="F6" i="20"/>
  <c r="F8" i="20"/>
  <c r="F9" i="20"/>
  <c r="F12" i="20"/>
  <c r="F15" i="20"/>
  <c r="F16" i="20"/>
  <c r="F17" i="20"/>
  <c r="F29" i="20"/>
  <c r="F30" i="20"/>
  <c r="F32" i="20"/>
  <c r="F37" i="20"/>
  <c r="F39" i="20"/>
  <c r="G6" i="20"/>
  <c r="G9" i="20"/>
  <c r="G12" i="20"/>
  <c r="G15" i="20"/>
  <c r="G16" i="20"/>
  <c r="G17" i="20"/>
  <c r="G29" i="20"/>
  <c r="G30" i="20"/>
  <c r="G32" i="20"/>
  <c r="G37" i="20"/>
  <c r="G39" i="20"/>
  <c r="H6" i="20"/>
  <c r="H8" i="20"/>
  <c r="H9" i="20"/>
  <c r="H12" i="20"/>
  <c r="H15" i="20"/>
  <c r="H16" i="20"/>
  <c r="H17" i="20"/>
  <c r="H29" i="20"/>
  <c r="H30" i="20"/>
  <c r="H32" i="20"/>
  <c r="H37" i="20"/>
  <c r="H39" i="20"/>
  <c r="I6" i="20"/>
  <c r="I8" i="20"/>
  <c r="I9" i="20"/>
  <c r="I12" i="20"/>
  <c r="I15" i="20"/>
  <c r="I16" i="20"/>
  <c r="I17" i="20"/>
  <c r="I29" i="20"/>
  <c r="I30" i="20"/>
  <c r="I32" i="20"/>
  <c r="I37" i="20"/>
  <c r="I39" i="20"/>
  <c r="J6" i="20"/>
  <c r="J8" i="20"/>
  <c r="J9" i="20"/>
  <c r="J12" i="20"/>
  <c r="J15" i="20"/>
  <c r="J16" i="20"/>
  <c r="J17" i="20"/>
  <c r="J29" i="20"/>
  <c r="J30" i="20"/>
  <c r="J32" i="20"/>
  <c r="J37" i="20"/>
  <c r="J39" i="20"/>
  <c r="K6" i="20"/>
  <c r="K8" i="20"/>
  <c r="K9" i="20"/>
  <c r="K12" i="20"/>
  <c r="K15" i="20"/>
  <c r="K16" i="20"/>
  <c r="K17" i="20"/>
  <c r="K29" i="20"/>
  <c r="K30" i="20"/>
  <c r="K32" i="20"/>
  <c r="K37" i="20"/>
  <c r="K39" i="20"/>
  <c r="L6" i="20"/>
  <c r="L8" i="20"/>
  <c r="L9" i="20"/>
  <c r="L12" i="20"/>
  <c r="L15" i="20"/>
  <c r="L16" i="20"/>
  <c r="L17" i="20"/>
  <c r="L29" i="20"/>
  <c r="L30" i="20"/>
  <c r="L32" i="20"/>
  <c r="L37" i="20"/>
  <c r="L39" i="20"/>
  <c r="M6" i="20"/>
  <c r="M8" i="20"/>
  <c r="M9" i="20"/>
  <c r="M12" i="20"/>
  <c r="M15" i="20"/>
  <c r="M16" i="20"/>
  <c r="M17" i="20"/>
  <c r="M29" i="20"/>
  <c r="M30" i="20"/>
  <c r="M32" i="20"/>
  <c r="M37" i="20"/>
  <c r="M39" i="20"/>
  <c r="N6" i="20"/>
  <c r="N8" i="20"/>
  <c r="N9" i="20"/>
  <c r="N12" i="20"/>
  <c r="N15" i="20"/>
  <c r="N16" i="20"/>
  <c r="N17" i="20"/>
  <c r="N29" i="20"/>
  <c r="N30" i="20"/>
  <c r="N32" i="20"/>
  <c r="N37" i="20"/>
  <c r="N39" i="20"/>
  <c r="O6" i="20"/>
  <c r="O8" i="20"/>
  <c r="O9" i="20"/>
  <c r="O12" i="20"/>
  <c r="O15" i="20"/>
  <c r="O16" i="20"/>
  <c r="O17" i="20"/>
  <c r="O29" i="20"/>
  <c r="O30" i="20"/>
  <c r="O32" i="20"/>
  <c r="O37" i="20"/>
  <c r="O39" i="20"/>
  <c r="P39" i="20"/>
  <c r="I46" i="1"/>
  <c r="H46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10" i="26"/>
  <c r="H11" i="26"/>
  <c r="H12" i="26"/>
  <c r="H18" i="26"/>
  <c r="H19" i="26"/>
  <c r="H17" i="26"/>
  <c r="H21" i="26"/>
  <c r="H13" i="26"/>
  <c r="I14" i="1"/>
  <c r="H14" i="26"/>
  <c r="I15" i="1"/>
  <c r="H15" i="26"/>
  <c r="I16" i="1"/>
  <c r="H16" i="26"/>
  <c r="H39" i="26"/>
  <c r="H41" i="26"/>
  <c r="H60" i="26"/>
  <c r="F10" i="26"/>
  <c r="F11" i="26"/>
  <c r="F12" i="26"/>
  <c r="F14" i="26"/>
  <c r="F15" i="26"/>
  <c r="F16" i="26"/>
  <c r="F17" i="26"/>
  <c r="F18" i="26"/>
  <c r="F21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9" i="26"/>
  <c r="F41" i="26"/>
  <c r="F56" i="26"/>
  <c r="D12" i="26"/>
  <c r="D21" i="26"/>
  <c r="D37" i="26"/>
  <c r="D39" i="26"/>
  <c r="D41" i="26"/>
  <c r="D56" i="26"/>
  <c r="D58" i="26"/>
  <c r="F54" i="26"/>
  <c r="F58" i="26"/>
  <c r="J49" i="26"/>
  <c r="J52" i="26"/>
  <c r="H49" i="26"/>
  <c r="H52" i="26"/>
  <c r="F46" i="26"/>
  <c r="F49" i="26"/>
  <c r="F51" i="26"/>
  <c r="F52" i="26"/>
  <c r="D49" i="26"/>
  <c r="D52" i="26"/>
  <c r="C46" i="25"/>
  <c r="D42" i="25"/>
  <c r="D44" i="25"/>
  <c r="D46" i="25"/>
  <c r="E44" i="25"/>
  <c r="E46" i="25"/>
  <c r="F44" i="25"/>
  <c r="F46" i="25"/>
  <c r="G44" i="25"/>
  <c r="G46" i="25"/>
  <c r="H44" i="25"/>
  <c r="H46" i="25"/>
  <c r="I44" i="25"/>
  <c r="I46" i="25"/>
  <c r="J44" i="25"/>
  <c r="J46" i="25"/>
  <c r="K44" i="25"/>
  <c r="K46" i="25"/>
  <c r="L44" i="25"/>
  <c r="L46" i="25"/>
  <c r="M44" i="25"/>
  <c r="M46" i="25"/>
  <c r="N44" i="25"/>
  <c r="N46" i="25"/>
  <c r="O44" i="25"/>
  <c r="O46" i="25"/>
  <c r="P46" i="25"/>
  <c r="P42" i="25"/>
  <c r="P44" i="25"/>
  <c r="Q12" i="25"/>
  <c r="Q30" i="25"/>
  <c r="Q32" i="25"/>
  <c r="P6" i="25"/>
  <c r="P8" i="25"/>
  <c r="P9" i="25"/>
  <c r="P12" i="25"/>
  <c r="P15" i="25"/>
  <c r="P16" i="25"/>
  <c r="P17" i="25"/>
  <c r="P28" i="25"/>
  <c r="P29" i="25"/>
  <c r="P30" i="25"/>
  <c r="P32" i="25"/>
  <c r="M376" i="24"/>
  <c r="M381" i="24"/>
  <c r="J372" i="24"/>
  <c r="H372" i="24"/>
  <c r="U272" i="24"/>
  <c r="T200" i="24"/>
  <c r="T205" i="24"/>
  <c r="V284" i="19"/>
  <c r="V296" i="19"/>
  <c r="V298" i="19"/>
  <c r="Q39" i="1"/>
  <c r="Q21" i="1"/>
  <c r="Q41" i="1"/>
  <c r="D60" i="23"/>
  <c r="D56" i="23"/>
  <c r="D30" i="23"/>
  <c r="U233" i="19"/>
  <c r="U247" i="19"/>
  <c r="U256" i="19"/>
  <c r="U215" i="19"/>
  <c r="U195" i="19"/>
  <c r="U217" i="19"/>
  <c r="T162" i="19"/>
  <c r="T174" i="19"/>
  <c r="U176" i="19"/>
  <c r="T131" i="19"/>
  <c r="T144" i="19"/>
  <c r="T146" i="19"/>
  <c r="V143" i="19"/>
  <c r="T123" i="19"/>
  <c r="T125" i="19"/>
  <c r="S95" i="19"/>
  <c r="S101" i="19"/>
  <c r="S106" i="19"/>
  <c r="S82" i="19"/>
  <c r="S56" i="19"/>
  <c r="S76" i="19"/>
  <c r="S69" i="19"/>
  <c r="S78" i="19"/>
  <c r="G337" i="19"/>
  <c r="I61" i="1"/>
  <c r="G61" i="1"/>
  <c r="N24" i="1"/>
  <c r="N28" i="1"/>
  <c r="N29" i="1"/>
  <c r="N30" i="1"/>
  <c r="N31" i="1"/>
  <c r="N32" i="1"/>
  <c r="N33" i="1"/>
  <c r="C36" i="21"/>
  <c r="D39" i="21"/>
  <c r="N34" i="1"/>
  <c r="D44" i="21"/>
  <c r="N35" i="1"/>
  <c r="N36" i="1"/>
  <c r="N37" i="1"/>
  <c r="N39" i="1"/>
  <c r="S63" i="19"/>
  <c r="S65" i="19"/>
  <c r="S49" i="19"/>
  <c r="G10" i="21"/>
  <c r="G9" i="21"/>
  <c r="C10" i="21"/>
  <c r="C9" i="21"/>
  <c r="G11" i="21"/>
  <c r="N4" i="17"/>
  <c r="N20" i="17"/>
  <c r="N22" i="17"/>
  <c r="L47" i="17"/>
  <c r="K50" i="17"/>
  <c r="L50" i="17"/>
  <c r="K51" i="17"/>
  <c r="L51" i="17"/>
  <c r="K52" i="17"/>
  <c r="L52" i="17"/>
  <c r="K53" i="17"/>
  <c r="L53" i="17"/>
  <c r="K54" i="17"/>
  <c r="L54" i="17"/>
  <c r="K55" i="17"/>
  <c r="L55" i="17"/>
  <c r="K56" i="17"/>
  <c r="L56" i="17"/>
  <c r="K57" i="17"/>
  <c r="L57" i="17"/>
  <c r="K58" i="17"/>
  <c r="L58" i="17"/>
  <c r="K59" i="17"/>
  <c r="L59" i="17"/>
  <c r="K60" i="17"/>
  <c r="L60" i="17"/>
  <c r="K61" i="17"/>
  <c r="L61" i="17"/>
  <c r="K62" i="17"/>
  <c r="L62" i="17"/>
  <c r="K63" i="17"/>
  <c r="L63" i="17"/>
  <c r="K64" i="17"/>
  <c r="L64" i="17"/>
  <c r="K65" i="17"/>
  <c r="L65" i="17"/>
  <c r="K66" i="17"/>
  <c r="L66" i="17"/>
  <c r="K67" i="17"/>
  <c r="L67" i="17"/>
  <c r="K68" i="17"/>
  <c r="L68" i="17"/>
  <c r="K69" i="17"/>
  <c r="L69" i="17"/>
  <c r="K70" i="17"/>
  <c r="L70" i="17"/>
  <c r="K71" i="17"/>
  <c r="L71" i="17"/>
  <c r="K72" i="17"/>
  <c r="L72" i="17"/>
  <c r="K73" i="17"/>
  <c r="L73" i="17"/>
  <c r="K74" i="17"/>
  <c r="L74" i="17"/>
  <c r="K75" i="17"/>
  <c r="L75" i="17"/>
  <c r="K76" i="17"/>
  <c r="L76" i="17"/>
  <c r="K77" i="17"/>
  <c r="L77" i="17"/>
  <c r="K78" i="17"/>
  <c r="L78" i="17"/>
  <c r="K79" i="17"/>
  <c r="L79" i="17"/>
  <c r="K80" i="17"/>
  <c r="L80" i="17"/>
  <c r="K81" i="17"/>
  <c r="L81" i="17"/>
  <c r="K82" i="17"/>
  <c r="L82" i="17"/>
  <c r="K83" i="17"/>
  <c r="L83" i="17"/>
  <c r="K84" i="17"/>
  <c r="L84" i="17"/>
  <c r="K85" i="17"/>
  <c r="L85" i="17"/>
  <c r="K86" i="17"/>
  <c r="L86" i="17"/>
  <c r="K87" i="17"/>
  <c r="L87" i="17"/>
  <c r="K88" i="17"/>
  <c r="L88" i="17"/>
  <c r="K89" i="17"/>
  <c r="L89" i="17"/>
  <c r="K90" i="17"/>
  <c r="L90" i="17"/>
  <c r="K91" i="17"/>
  <c r="L91" i="17"/>
  <c r="K92" i="17"/>
  <c r="L92" i="17"/>
  <c r="K93" i="17"/>
  <c r="L93" i="17"/>
  <c r="K94" i="17"/>
  <c r="L94" i="17"/>
  <c r="K95" i="17"/>
  <c r="L95" i="17"/>
  <c r="K96" i="17"/>
  <c r="L96" i="17"/>
  <c r="K97" i="17"/>
  <c r="L97" i="17"/>
  <c r="K98" i="17"/>
  <c r="L98" i="17"/>
  <c r="K99" i="17"/>
  <c r="L99" i="17"/>
  <c r="K100" i="17"/>
  <c r="L100" i="17"/>
  <c r="K101" i="17"/>
  <c r="L101" i="17"/>
  <c r="K102" i="17"/>
  <c r="L102" i="17"/>
  <c r="K103" i="17"/>
  <c r="L103" i="17"/>
  <c r="K104" i="17"/>
  <c r="L104" i="17"/>
  <c r="K105" i="17"/>
  <c r="L105" i="17"/>
  <c r="K106" i="17"/>
  <c r="L106" i="17"/>
  <c r="K107" i="17"/>
  <c r="L107" i="17"/>
  <c r="K108" i="17"/>
  <c r="L108" i="17"/>
  <c r="K109" i="17"/>
  <c r="L109" i="17"/>
  <c r="K110" i="17"/>
  <c r="L110" i="17"/>
  <c r="K111" i="17"/>
  <c r="L111" i="17"/>
  <c r="K112" i="17"/>
  <c r="L112" i="17"/>
  <c r="K113" i="17"/>
  <c r="L113" i="17"/>
  <c r="K114" i="17"/>
  <c r="L114" i="17"/>
  <c r="K115" i="17"/>
  <c r="L115" i="17"/>
  <c r="K116" i="17"/>
  <c r="L116" i="17"/>
  <c r="K117" i="17"/>
  <c r="L117" i="17"/>
  <c r="K118" i="17"/>
  <c r="L118" i="17"/>
  <c r="K119" i="17"/>
  <c r="L119" i="17"/>
  <c r="K120" i="17"/>
  <c r="L120" i="17"/>
  <c r="K121" i="17"/>
  <c r="L121" i="17"/>
  <c r="K122" i="17"/>
  <c r="L122" i="17"/>
  <c r="K123" i="17"/>
  <c r="L123" i="17"/>
  <c r="K124" i="17"/>
  <c r="L124" i="17"/>
  <c r="K125" i="17"/>
  <c r="L125" i="17"/>
  <c r="K126" i="17"/>
  <c r="L126" i="17"/>
  <c r="K127" i="17"/>
  <c r="L127" i="17"/>
  <c r="K128" i="17"/>
  <c r="L128" i="17"/>
  <c r="K129" i="17"/>
  <c r="L129" i="17"/>
  <c r="K130" i="17"/>
  <c r="L130" i="17"/>
  <c r="K131" i="17"/>
  <c r="L131" i="17"/>
  <c r="K132" i="17"/>
  <c r="L132" i="17"/>
  <c r="K133" i="17"/>
  <c r="L133" i="17"/>
  <c r="K134" i="17"/>
  <c r="L134" i="17"/>
  <c r="K135" i="17"/>
  <c r="L135" i="17"/>
  <c r="K136" i="17"/>
  <c r="L136" i="17"/>
  <c r="K137" i="17"/>
  <c r="L137" i="17"/>
  <c r="K138" i="17"/>
  <c r="L138" i="17"/>
  <c r="K139" i="17"/>
  <c r="L139" i="17"/>
  <c r="K140" i="17"/>
  <c r="L140" i="17"/>
  <c r="K141" i="17"/>
  <c r="L141" i="17"/>
  <c r="K142" i="17"/>
  <c r="L142" i="17"/>
  <c r="K143" i="17"/>
  <c r="L143" i="17"/>
  <c r="K144" i="17"/>
  <c r="L144" i="17"/>
  <c r="K145" i="17"/>
  <c r="L145" i="17"/>
  <c r="K146" i="17"/>
  <c r="L146" i="17"/>
  <c r="K147" i="17"/>
  <c r="L147" i="17"/>
  <c r="K148" i="17"/>
  <c r="L148" i="17"/>
  <c r="K149" i="17"/>
  <c r="L149" i="17"/>
  <c r="K150" i="17"/>
  <c r="L150" i="17"/>
  <c r="K151" i="17"/>
  <c r="L151" i="17"/>
  <c r="K152" i="17"/>
  <c r="L152" i="17"/>
  <c r="K153" i="17"/>
  <c r="L153" i="17"/>
  <c r="K154" i="17"/>
  <c r="L154" i="17"/>
  <c r="K155" i="17"/>
  <c r="L155" i="17"/>
  <c r="K156" i="17"/>
  <c r="L156" i="17"/>
  <c r="K157" i="17"/>
  <c r="L157" i="17"/>
  <c r="K158" i="17"/>
  <c r="L158" i="17"/>
  <c r="K159" i="17"/>
  <c r="L159" i="17"/>
  <c r="K160" i="17"/>
  <c r="L160" i="17"/>
  <c r="K161" i="17"/>
  <c r="L161" i="17"/>
  <c r="K162" i="17"/>
  <c r="L162" i="17"/>
  <c r="K163" i="17"/>
  <c r="L163" i="17"/>
  <c r="K164" i="17"/>
  <c r="L164" i="17"/>
  <c r="K165" i="17"/>
  <c r="L165" i="17"/>
  <c r="K166" i="17"/>
  <c r="L166" i="17"/>
  <c r="K167" i="17"/>
  <c r="L167" i="17"/>
  <c r="K168" i="17"/>
  <c r="L168" i="17"/>
  <c r="K169" i="17"/>
  <c r="L169" i="17"/>
  <c r="K170" i="17"/>
  <c r="L170" i="17"/>
  <c r="K171" i="17"/>
  <c r="L171" i="17"/>
  <c r="K172" i="17"/>
  <c r="L172" i="17"/>
  <c r="K173" i="17"/>
  <c r="L173" i="17"/>
  <c r="K174" i="17"/>
  <c r="L174" i="17"/>
  <c r="K175" i="17"/>
  <c r="L175" i="17"/>
  <c r="K176" i="17"/>
  <c r="L176" i="17"/>
  <c r="K177" i="17"/>
  <c r="L177" i="17"/>
  <c r="K178" i="17"/>
  <c r="L178" i="17"/>
  <c r="K179" i="17"/>
  <c r="L179" i="17"/>
  <c r="K180" i="17"/>
  <c r="L180" i="17"/>
  <c r="K181" i="17"/>
  <c r="L181" i="17"/>
  <c r="K182" i="17"/>
  <c r="L182" i="17"/>
  <c r="K183" i="17"/>
  <c r="L183" i="17"/>
  <c r="K184" i="17"/>
  <c r="L184" i="17"/>
  <c r="K185" i="17"/>
  <c r="L185" i="17"/>
  <c r="K186" i="17"/>
  <c r="L186" i="17"/>
  <c r="K187" i="17"/>
  <c r="L187" i="17"/>
  <c r="K188" i="17"/>
  <c r="L188" i="17"/>
  <c r="K189" i="17"/>
  <c r="L189" i="17"/>
  <c r="K190" i="17"/>
  <c r="L190" i="17"/>
  <c r="K191" i="17"/>
  <c r="L191" i="17"/>
  <c r="K192" i="17"/>
  <c r="L192" i="17"/>
  <c r="K193" i="17"/>
  <c r="L193" i="17"/>
  <c r="K194" i="17"/>
  <c r="L194" i="17"/>
  <c r="L195" i="17"/>
  <c r="K196" i="17"/>
  <c r="L196" i="17"/>
  <c r="K197" i="17"/>
  <c r="L197" i="17"/>
  <c r="K198" i="17"/>
  <c r="L198" i="17"/>
  <c r="K199" i="17"/>
  <c r="L199" i="17"/>
  <c r="K200" i="17"/>
  <c r="L200" i="17"/>
  <c r="K201" i="17"/>
  <c r="L201" i="17"/>
  <c r="K202" i="17"/>
  <c r="L202" i="17"/>
  <c r="K203" i="17"/>
  <c r="L203" i="17"/>
  <c r="K204" i="17"/>
  <c r="L204" i="17"/>
  <c r="K205" i="17"/>
  <c r="L205" i="17"/>
  <c r="K206" i="17"/>
  <c r="L206" i="17"/>
  <c r="K207" i="17"/>
  <c r="L207" i="17"/>
  <c r="K208" i="17"/>
  <c r="L208" i="17"/>
  <c r="K209" i="17"/>
  <c r="L209" i="17"/>
  <c r="K210" i="17"/>
  <c r="L210" i="17"/>
  <c r="K211" i="17"/>
  <c r="L211" i="17"/>
  <c r="K212" i="17"/>
  <c r="L212" i="17"/>
  <c r="K213" i="17"/>
  <c r="L213" i="17"/>
  <c r="K214" i="17"/>
  <c r="L214" i="17"/>
  <c r="K215" i="17"/>
  <c r="L215" i="17"/>
  <c r="K216" i="17"/>
  <c r="L216" i="17"/>
  <c r="K217" i="17"/>
  <c r="L217" i="17"/>
  <c r="K218" i="17"/>
  <c r="L218" i="17"/>
  <c r="K219" i="17"/>
  <c r="L219" i="17"/>
  <c r="K220" i="17"/>
  <c r="L220" i="17"/>
  <c r="K221" i="17"/>
  <c r="L221" i="17"/>
  <c r="K222" i="17"/>
  <c r="L222" i="17"/>
  <c r="K223" i="17"/>
  <c r="L223" i="17"/>
  <c r="K224" i="17"/>
  <c r="L224" i="17"/>
  <c r="K225" i="17"/>
  <c r="L225" i="17"/>
  <c r="K226" i="17"/>
  <c r="L226" i="17"/>
  <c r="K227" i="17"/>
  <c r="L227" i="17"/>
  <c r="K228" i="17"/>
  <c r="L228" i="17"/>
  <c r="K229" i="17"/>
  <c r="L229" i="17"/>
  <c r="K230" i="17"/>
  <c r="L230" i="17"/>
  <c r="K231" i="17"/>
  <c r="L231" i="17"/>
  <c r="K232" i="17"/>
  <c r="L232" i="17"/>
  <c r="K233" i="17"/>
  <c r="L233" i="17"/>
  <c r="K234" i="17"/>
  <c r="L234" i="17"/>
  <c r="K235" i="17"/>
  <c r="L235" i="17"/>
  <c r="K236" i="17"/>
  <c r="L236" i="17"/>
  <c r="K237" i="17"/>
  <c r="L237" i="17"/>
  <c r="K238" i="17"/>
  <c r="L238" i="17"/>
  <c r="K239" i="17"/>
  <c r="L239" i="17"/>
  <c r="K240" i="17"/>
  <c r="L240" i="17"/>
  <c r="K241" i="17"/>
  <c r="L241" i="17"/>
  <c r="K242" i="17"/>
  <c r="L242" i="17"/>
  <c r="K243" i="17"/>
  <c r="L243" i="17"/>
  <c r="K244" i="17"/>
  <c r="L244" i="17"/>
  <c r="K245" i="17"/>
  <c r="L245" i="17"/>
  <c r="K246" i="17"/>
  <c r="L246" i="17"/>
  <c r="K247" i="17"/>
  <c r="L247" i="17"/>
  <c r="K248" i="17"/>
  <c r="L248" i="17"/>
  <c r="K249" i="17"/>
  <c r="L249" i="17"/>
  <c r="K250" i="17"/>
  <c r="L250" i="17"/>
  <c r="K251" i="17"/>
  <c r="L251" i="17"/>
  <c r="K252" i="17"/>
  <c r="L252" i="17"/>
  <c r="K253" i="17"/>
  <c r="L253" i="17"/>
  <c r="K254" i="17"/>
  <c r="L254" i="17"/>
  <c r="K255" i="17"/>
  <c r="L255" i="17"/>
  <c r="K256" i="17"/>
  <c r="L256" i="17"/>
  <c r="K257" i="17"/>
  <c r="L257" i="17"/>
  <c r="K258" i="17"/>
  <c r="L258" i="17"/>
  <c r="K259" i="17"/>
  <c r="L259" i="17"/>
  <c r="K260" i="17"/>
  <c r="L260" i="17"/>
  <c r="K261" i="17"/>
  <c r="L261" i="17"/>
  <c r="K262" i="17"/>
  <c r="L262" i="17"/>
  <c r="K263" i="17"/>
  <c r="L263" i="17"/>
  <c r="K264" i="17"/>
  <c r="L264" i="17"/>
  <c r="K265" i="17"/>
  <c r="L265" i="17"/>
  <c r="K266" i="17"/>
  <c r="L266" i="17"/>
  <c r="K267" i="17"/>
  <c r="L267" i="17"/>
  <c r="K268" i="17"/>
  <c r="L268" i="17"/>
  <c r="K269" i="17"/>
  <c r="L269" i="17"/>
  <c r="K270" i="17"/>
  <c r="L270" i="17"/>
  <c r="K271" i="17"/>
  <c r="L271" i="17"/>
  <c r="K272" i="17"/>
  <c r="L272" i="17"/>
  <c r="K273" i="17"/>
  <c r="L273" i="17"/>
  <c r="K274" i="17"/>
  <c r="L274" i="17"/>
  <c r="K275" i="17"/>
  <c r="L275" i="17"/>
  <c r="K276" i="17"/>
  <c r="L276" i="17"/>
  <c r="K277" i="17"/>
  <c r="L277" i="17"/>
  <c r="K278" i="17"/>
  <c r="L278" i="17"/>
  <c r="K279" i="17"/>
  <c r="L279" i="17"/>
  <c r="K280" i="17"/>
  <c r="L280" i="17"/>
  <c r="K281" i="17"/>
  <c r="L281" i="17"/>
  <c r="K282" i="17"/>
  <c r="L282" i="17"/>
  <c r="K283" i="17"/>
  <c r="L283" i="17"/>
  <c r="K284" i="17"/>
  <c r="L284" i="17"/>
  <c r="K285" i="17"/>
  <c r="L285" i="17"/>
  <c r="K286" i="17"/>
  <c r="L286" i="17"/>
  <c r="L291" i="17"/>
  <c r="L298" i="17"/>
  <c r="L300" i="17"/>
  <c r="O37" i="1"/>
  <c r="O36" i="1"/>
  <c r="H44" i="21"/>
  <c r="O35" i="1"/>
  <c r="H39" i="21"/>
  <c r="O34" i="1"/>
  <c r="O33" i="1"/>
  <c r="O32" i="1"/>
  <c r="O31" i="1"/>
  <c r="O30" i="1"/>
  <c r="O29" i="1"/>
  <c r="O28" i="1"/>
  <c r="O24" i="1"/>
  <c r="O18" i="1"/>
  <c r="N18" i="1"/>
  <c r="G19" i="21"/>
  <c r="H20" i="21"/>
  <c r="O11" i="1"/>
  <c r="D20" i="21"/>
  <c r="N11" i="1"/>
  <c r="H14" i="21"/>
  <c r="O10" i="1"/>
  <c r="D14" i="21"/>
  <c r="N10" i="1"/>
  <c r="O39" i="1"/>
  <c r="O21" i="1"/>
  <c r="O41" i="1"/>
  <c r="N21" i="1"/>
  <c r="N41" i="1"/>
  <c r="C46" i="20"/>
  <c r="D42" i="20"/>
  <c r="D44" i="20"/>
  <c r="D46" i="20"/>
  <c r="E44" i="20"/>
  <c r="E46" i="20"/>
  <c r="F44" i="20"/>
  <c r="F46" i="20"/>
  <c r="G44" i="20"/>
  <c r="G46" i="20"/>
  <c r="H44" i="20"/>
  <c r="H46" i="20"/>
  <c r="I44" i="20"/>
  <c r="I46" i="20"/>
  <c r="J44" i="20"/>
  <c r="J46" i="20"/>
  <c r="K44" i="20"/>
  <c r="K46" i="20"/>
  <c r="L44" i="20"/>
  <c r="L46" i="20"/>
  <c r="M44" i="20"/>
  <c r="M46" i="20"/>
  <c r="N44" i="20"/>
  <c r="N46" i="20"/>
  <c r="O44" i="20"/>
  <c r="O46" i="20"/>
  <c r="P46" i="20"/>
  <c r="P42" i="20"/>
  <c r="P44" i="20"/>
  <c r="K287" i="17"/>
  <c r="K288" i="17"/>
  <c r="Q12" i="20"/>
  <c r="Q30" i="20"/>
  <c r="Q32" i="20"/>
  <c r="P6" i="20"/>
  <c r="P8" i="20"/>
  <c r="P9" i="20"/>
  <c r="P12" i="20"/>
  <c r="P15" i="20"/>
  <c r="P16" i="20"/>
  <c r="P17" i="20"/>
  <c r="P28" i="20"/>
  <c r="P29" i="20"/>
  <c r="P30" i="20"/>
  <c r="P32" i="20"/>
  <c r="K338" i="19"/>
  <c r="K337" i="19"/>
  <c r="I337" i="19"/>
  <c r="S90" i="19"/>
  <c r="S92" i="19"/>
  <c r="S51" i="19"/>
  <c r="L30" i="19"/>
  <c r="R268" i="17"/>
  <c r="U270" i="17"/>
  <c r="U272" i="17"/>
  <c r="U256" i="17"/>
  <c r="U257" i="17"/>
  <c r="U241" i="17"/>
  <c r="U244" i="17"/>
  <c r="U226" i="17"/>
  <c r="U228" i="17"/>
  <c r="K29" i="18"/>
  <c r="K28" i="18"/>
  <c r="K40" i="18"/>
  <c r="U215" i="17"/>
  <c r="U216" i="17"/>
  <c r="U203" i="17"/>
  <c r="U204" i="17"/>
  <c r="U181" i="17"/>
  <c r="U189" i="17"/>
  <c r="U191" i="17"/>
  <c r="E28" i="18"/>
  <c r="E40" i="18"/>
  <c r="P40" i="18"/>
  <c r="P41" i="18"/>
  <c r="P43" i="18"/>
  <c r="V160" i="17"/>
  <c r="V174" i="17"/>
  <c r="V176" i="17"/>
  <c r="L458" i="15"/>
  <c r="V152" i="17"/>
  <c r="V156" i="17"/>
  <c r="Z155" i="17"/>
  <c r="V126" i="17"/>
  <c r="V128" i="17"/>
  <c r="V96" i="17"/>
  <c r="F44" i="18"/>
  <c r="E44" i="18"/>
  <c r="C46" i="18"/>
  <c r="D42" i="18"/>
  <c r="D44" i="18"/>
  <c r="D46" i="18"/>
  <c r="E46" i="18"/>
  <c r="F46" i="18"/>
  <c r="G44" i="18"/>
  <c r="G46" i="18"/>
  <c r="H44" i="18"/>
  <c r="H46" i="18"/>
  <c r="I44" i="18"/>
  <c r="I46" i="18"/>
  <c r="J44" i="18"/>
  <c r="J46" i="18"/>
  <c r="K44" i="18"/>
  <c r="K46" i="18"/>
  <c r="L44" i="18"/>
  <c r="L46" i="18"/>
  <c r="M44" i="18"/>
  <c r="M46" i="18"/>
  <c r="N44" i="18"/>
  <c r="N46" i="18"/>
  <c r="O44" i="18"/>
  <c r="O46" i="18"/>
  <c r="P46" i="18"/>
  <c r="D3" i="18"/>
  <c r="D4" i="18"/>
  <c r="D5" i="18"/>
  <c r="D8" i="18"/>
  <c r="D21" i="18"/>
  <c r="D10" i="18"/>
  <c r="D12" i="18"/>
  <c r="D14" i="18"/>
  <c r="D18" i="18"/>
  <c r="D19" i="18"/>
  <c r="D20" i="18"/>
  <c r="D22" i="18"/>
  <c r="D23" i="18"/>
  <c r="D24" i="18"/>
  <c r="D25" i="18"/>
  <c r="D26" i="18"/>
  <c r="D27" i="18"/>
  <c r="D28" i="18"/>
  <c r="D29" i="18"/>
  <c r="D30" i="18"/>
  <c r="D32" i="18"/>
  <c r="D35" i="18"/>
  <c r="D36" i="18"/>
  <c r="D37" i="18"/>
  <c r="D39" i="18"/>
  <c r="E3" i="18"/>
  <c r="E4" i="18"/>
  <c r="E5" i="18"/>
  <c r="E8" i="18"/>
  <c r="E21" i="18"/>
  <c r="E10" i="18"/>
  <c r="E12" i="18"/>
  <c r="E14" i="18"/>
  <c r="E18" i="18"/>
  <c r="E19" i="18"/>
  <c r="E20" i="18"/>
  <c r="E22" i="18"/>
  <c r="E23" i="18"/>
  <c r="E24" i="18"/>
  <c r="E25" i="18"/>
  <c r="E26" i="18"/>
  <c r="E27" i="18"/>
  <c r="E29" i="18"/>
  <c r="E30" i="18"/>
  <c r="E32" i="18"/>
  <c r="E35" i="18"/>
  <c r="E36" i="18"/>
  <c r="E37" i="18"/>
  <c r="E39" i="18"/>
  <c r="F3" i="18"/>
  <c r="F4" i="18"/>
  <c r="F5" i="18"/>
  <c r="F8" i="18"/>
  <c r="F21" i="18"/>
  <c r="F10" i="18"/>
  <c r="F12" i="18"/>
  <c r="F14" i="18"/>
  <c r="F18" i="18"/>
  <c r="F19" i="18"/>
  <c r="F20" i="18"/>
  <c r="F22" i="18"/>
  <c r="F23" i="18"/>
  <c r="F24" i="18"/>
  <c r="F25" i="18"/>
  <c r="F26" i="18"/>
  <c r="F27" i="18"/>
  <c r="F28" i="18"/>
  <c r="F29" i="18"/>
  <c r="F30" i="18"/>
  <c r="F32" i="18"/>
  <c r="F35" i="18"/>
  <c r="F36" i="18"/>
  <c r="F37" i="18"/>
  <c r="F39" i="18"/>
  <c r="G3" i="18"/>
  <c r="G4" i="18"/>
  <c r="G5" i="18"/>
  <c r="G21" i="18"/>
  <c r="G10" i="18"/>
  <c r="G12" i="18"/>
  <c r="G14" i="18"/>
  <c r="G18" i="18"/>
  <c r="G19" i="18"/>
  <c r="G20" i="18"/>
  <c r="G22" i="18"/>
  <c r="G23" i="18"/>
  <c r="G24" i="18"/>
  <c r="G25" i="18"/>
  <c r="G26" i="18"/>
  <c r="G27" i="18"/>
  <c r="G28" i="18"/>
  <c r="G29" i="18"/>
  <c r="G30" i="18"/>
  <c r="G32" i="18"/>
  <c r="G35" i="18"/>
  <c r="G36" i="18"/>
  <c r="G37" i="18"/>
  <c r="G39" i="18"/>
  <c r="H3" i="18"/>
  <c r="H4" i="18"/>
  <c r="H5" i="18"/>
  <c r="H8" i="18"/>
  <c r="H21" i="18"/>
  <c r="H10" i="18"/>
  <c r="H12" i="18"/>
  <c r="H14" i="18"/>
  <c r="H18" i="18"/>
  <c r="H19" i="18"/>
  <c r="H20" i="18"/>
  <c r="H22" i="18"/>
  <c r="H23" i="18"/>
  <c r="H24" i="18"/>
  <c r="H25" i="18"/>
  <c r="H26" i="18"/>
  <c r="H27" i="18"/>
  <c r="H28" i="18"/>
  <c r="H29" i="18"/>
  <c r="H30" i="18"/>
  <c r="H32" i="18"/>
  <c r="H35" i="18"/>
  <c r="H36" i="18"/>
  <c r="H37" i="18"/>
  <c r="H39" i="18"/>
  <c r="I3" i="18"/>
  <c r="I4" i="18"/>
  <c r="I5" i="18"/>
  <c r="I8" i="18"/>
  <c r="I21" i="18"/>
  <c r="I10" i="18"/>
  <c r="I12" i="18"/>
  <c r="I14" i="18"/>
  <c r="I18" i="18"/>
  <c r="I19" i="18"/>
  <c r="I20" i="18"/>
  <c r="I22" i="18"/>
  <c r="I23" i="18"/>
  <c r="I24" i="18"/>
  <c r="I25" i="18"/>
  <c r="I26" i="18"/>
  <c r="I27" i="18"/>
  <c r="I28" i="18"/>
  <c r="I29" i="18"/>
  <c r="I30" i="18"/>
  <c r="I32" i="18"/>
  <c r="I35" i="18"/>
  <c r="I36" i="18"/>
  <c r="I37" i="18"/>
  <c r="I39" i="18"/>
  <c r="J3" i="18"/>
  <c r="J4" i="18"/>
  <c r="J5" i="18"/>
  <c r="J8" i="18"/>
  <c r="J21" i="18"/>
  <c r="J10" i="18"/>
  <c r="J12" i="18"/>
  <c r="J14" i="18"/>
  <c r="J18" i="18"/>
  <c r="J19" i="18"/>
  <c r="J20" i="18"/>
  <c r="J22" i="18"/>
  <c r="J23" i="18"/>
  <c r="J24" i="18"/>
  <c r="J25" i="18"/>
  <c r="J26" i="18"/>
  <c r="J27" i="18"/>
  <c r="J28" i="18"/>
  <c r="J29" i="18"/>
  <c r="J30" i="18"/>
  <c r="J32" i="18"/>
  <c r="J35" i="18"/>
  <c r="J36" i="18"/>
  <c r="J37" i="18"/>
  <c r="J39" i="18"/>
  <c r="K3" i="18"/>
  <c r="K4" i="18"/>
  <c r="K5" i="18"/>
  <c r="K8" i="18"/>
  <c r="K21" i="18"/>
  <c r="K10" i="18"/>
  <c r="K12" i="18"/>
  <c r="K14" i="18"/>
  <c r="K18" i="18"/>
  <c r="K19" i="18"/>
  <c r="K20" i="18"/>
  <c r="K22" i="18"/>
  <c r="K23" i="18"/>
  <c r="K24" i="18"/>
  <c r="K25" i="18"/>
  <c r="K26" i="18"/>
  <c r="K27" i="18"/>
  <c r="K30" i="18"/>
  <c r="K32" i="18"/>
  <c r="K35" i="18"/>
  <c r="K36" i="18"/>
  <c r="K37" i="18"/>
  <c r="K39" i="18"/>
  <c r="L3" i="18"/>
  <c r="L4" i="18"/>
  <c r="L5" i="18"/>
  <c r="L8" i="18"/>
  <c r="L21" i="18"/>
  <c r="L10" i="18"/>
  <c r="L12" i="18"/>
  <c r="L14" i="18"/>
  <c r="L18" i="18"/>
  <c r="L19" i="18"/>
  <c r="L20" i="18"/>
  <c r="L22" i="18"/>
  <c r="L23" i="18"/>
  <c r="L24" i="18"/>
  <c r="L25" i="18"/>
  <c r="L26" i="18"/>
  <c r="L27" i="18"/>
  <c r="L28" i="18"/>
  <c r="L29" i="18"/>
  <c r="L30" i="18"/>
  <c r="L32" i="18"/>
  <c r="L35" i="18"/>
  <c r="L36" i="18"/>
  <c r="L37" i="18"/>
  <c r="L39" i="18"/>
  <c r="M3" i="18"/>
  <c r="M4" i="18"/>
  <c r="M5" i="18"/>
  <c r="M8" i="18"/>
  <c r="M21" i="18"/>
  <c r="M10" i="18"/>
  <c r="M12" i="18"/>
  <c r="M14" i="18"/>
  <c r="M18" i="18"/>
  <c r="M19" i="18"/>
  <c r="M20" i="18"/>
  <c r="M22" i="18"/>
  <c r="M23" i="18"/>
  <c r="M24" i="18"/>
  <c r="M25" i="18"/>
  <c r="M26" i="18"/>
  <c r="M27" i="18"/>
  <c r="M28" i="18"/>
  <c r="M29" i="18"/>
  <c r="M30" i="18"/>
  <c r="M32" i="18"/>
  <c r="M35" i="18"/>
  <c r="M36" i="18"/>
  <c r="M37" i="18"/>
  <c r="M39" i="18"/>
  <c r="N3" i="18"/>
  <c r="N4" i="18"/>
  <c r="N5" i="18"/>
  <c r="N8" i="18"/>
  <c r="N21" i="18"/>
  <c r="N10" i="18"/>
  <c r="N12" i="18"/>
  <c r="N14" i="18"/>
  <c r="N18" i="18"/>
  <c r="N19" i="18"/>
  <c r="N20" i="18"/>
  <c r="N22" i="18"/>
  <c r="N23" i="18"/>
  <c r="N24" i="18"/>
  <c r="N25" i="18"/>
  <c r="N26" i="18"/>
  <c r="N27" i="18"/>
  <c r="N28" i="18"/>
  <c r="N29" i="18"/>
  <c r="N30" i="18"/>
  <c r="N32" i="18"/>
  <c r="N35" i="18"/>
  <c r="N36" i="18"/>
  <c r="N37" i="18"/>
  <c r="N39" i="18"/>
  <c r="O3" i="18"/>
  <c r="O4" i="18"/>
  <c r="O5" i="18"/>
  <c r="O8" i="18"/>
  <c r="O21" i="18"/>
  <c r="O10" i="18"/>
  <c r="O12" i="18"/>
  <c r="O14" i="18"/>
  <c r="O18" i="18"/>
  <c r="O19" i="18"/>
  <c r="O20" i="18"/>
  <c r="O22" i="18"/>
  <c r="O23" i="18"/>
  <c r="O24" i="18"/>
  <c r="O25" i="18"/>
  <c r="O26" i="18"/>
  <c r="O27" i="18"/>
  <c r="O28" i="18"/>
  <c r="O29" i="18"/>
  <c r="O30" i="18"/>
  <c r="O32" i="18"/>
  <c r="O35" i="18"/>
  <c r="O36" i="18"/>
  <c r="O37" i="18"/>
  <c r="O39" i="18"/>
  <c r="P39" i="18"/>
  <c r="P35" i="18"/>
  <c r="P36" i="18"/>
  <c r="P37" i="18"/>
  <c r="R37" i="18"/>
  <c r="Q12" i="18"/>
  <c r="Q30" i="18"/>
  <c r="Q32" i="18"/>
  <c r="P27" i="18"/>
  <c r="P26" i="18"/>
  <c r="P25" i="18"/>
  <c r="P24" i="18"/>
  <c r="P23" i="18"/>
  <c r="P20" i="18"/>
  <c r="P22" i="18"/>
  <c r="P19" i="18"/>
  <c r="P18" i="18"/>
  <c r="P14" i="18"/>
  <c r="P10" i="18"/>
  <c r="P21" i="18"/>
  <c r="P5" i="18"/>
  <c r="P4" i="18"/>
  <c r="P3" i="18"/>
  <c r="L39" i="17"/>
  <c r="C44" i="3"/>
  <c r="D40" i="3"/>
  <c r="D42" i="3"/>
  <c r="D44" i="3"/>
  <c r="E42" i="3"/>
  <c r="E44" i="3"/>
  <c r="F42" i="3"/>
  <c r="F44" i="3"/>
  <c r="G42" i="3"/>
  <c r="G44" i="3"/>
  <c r="H42" i="3"/>
  <c r="H44" i="3"/>
  <c r="I42" i="3"/>
  <c r="I44" i="3"/>
  <c r="J42" i="3"/>
  <c r="J44" i="3"/>
  <c r="K42" i="3"/>
  <c r="K44" i="3"/>
  <c r="L42" i="3"/>
  <c r="L44" i="3"/>
  <c r="M42" i="3"/>
  <c r="M44" i="3"/>
  <c r="N42" i="3"/>
  <c r="N44" i="3"/>
  <c r="O42" i="3"/>
  <c r="O44" i="3"/>
  <c r="E48" i="1"/>
  <c r="C44" i="14"/>
  <c r="D40" i="14"/>
  <c r="D41" i="14"/>
  <c r="D42" i="14"/>
  <c r="D44" i="14"/>
  <c r="E42" i="14"/>
  <c r="E44" i="14"/>
  <c r="F42" i="14"/>
  <c r="F44" i="14"/>
  <c r="G42" i="14"/>
  <c r="G44" i="14"/>
  <c r="H42" i="14"/>
  <c r="H44" i="14"/>
  <c r="I42" i="14"/>
  <c r="I44" i="14"/>
  <c r="J42" i="14"/>
  <c r="J44" i="14"/>
  <c r="K42" i="14"/>
  <c r="K44" i="14"/>
  <c r="L42" i="14"/>
  <c r="L44" i="14"/>
  <c r="M42" i="14"/>
  <c r="M44" i="14"/>
  <c r="N42" i="14"/>
  <c r="N44" i="14"/>
  <c r="O42" i="14"/>
  <c r="O44" i="14"/>
  <c r="P44" i="14"/>
  <c r="P42" i="18"/>
  <c r="P44" i="18"/>
  <c r="E46" i="1"/>
  <c r="C38" i="14"/>
  <c r="D3" i="14"/>
  <c r="D4" i="14"/>
  <c r="D5" i="14"/>
  <c r="D8" i="14"/>
  <c r="D10" i="14"/>
  <c r="D11" i="14"/>
  <c r="D12" i="14"/>
  <c r="D14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1" i="14"/>
  <c r="D34" i="14"/>
  <c r="D35" i="14"/>
  <c r="D36" i="14"/>
  <c r="D38" i="14"/>
  <c r="E3" i="14"/>
  <c r="E4" i="14"/>
  <c r="E5" i="14"/>
  <c r="E8" i="14"/>
  <c r="E10" i="14"/>
  <c r="E11" i="14"/>
  <c r="E12" i="14"/>
  <c r="E14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1" i="14"/>
  <c r="E34" i="14"/>
  <c r="E35" i="14"/>
  <c r="E36" i="14"/>
  <c r="E38" i="14"/>
  <c r="F3" i="14"/>
  <c r="F4" i="14"/>
  <c r="F5" i="14"/>
  <c r="F8" i="14"/>
  <c r="F10" i="14"/>
  <c r="F11" i="14"/>
  <c r="F12" i="14"/>
  <c r="F14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1" i="14"/>
  <c r="F34" i="14"/>
  <c r="F35" i="14"/>
  <c r="F36" i="14"/>
  <c r="F38" i="14"/>
  <c r="G3" i="14"/>
  <c r="G4" i="14"/>
  <c r="G5" i="14"/>
  <c r="G8" i="14"/>
  <c r="G10" i="14"/>
  <c r="G11" i="14"/>
  <c r="G12" i="14"/>
  <c r="G14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4" i="14"/>
  <c r="G35" i="14"/>
  <c r="G36" i="14"/>
  <c r="G38" i="14"/>
  <c r="H3" i="14"/>
  <c r="H4" i="14"/>
  <c r="H5" i="14"/>
  <c r="H8" i="14"/>
  <c r="H10" i="14"/>
  <c r="H11" i="14"/>
  <c r="H12" i="14"/>
  <c r="H14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1" i="14"/>
  <c r="H34" i="14"/>
  <c r="H35" i="14"/>
  <c r="H36" i="14"/>
  <c r="H38" i="14"/>
  <c r="I3" i="14"/>
  <c r="I4" i="14"/>
  <c r="I5" i="14"/>
  <c r="I8" i="14"/>
  <c r="I10" i="14"/>
  <c r="I11" i="14"/>
  <c r="I12" i="14"/>
  <c r="I14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1" i="14"/>
  <c r="I34" i="14"/>
  <c r="I35" i="14"/>
  <c r="I36" i="14"/>
  <c r="I38" i="14"/>
  <c r="J3" i="14"/>
  <c r="J4" i="14"/>
  <c r="J5" i="14"/>
  <c r="J8" i="14"/>
  <c r="J10" i="14"/>
  <c r="J11" i="14"/>
  <c r="J12" i="14"/>
  <c r="J14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1" i="14"/>
  <c r="J34" i="14"/>
  <c r="J35" i="14"/>
  <c r="J36" i="14"/>
  <c r="J38" i="14"/>
  <c r="K3" i="14"/>
  <c r="K4" i="14"/>
  <c r="K5" i="14"/>
  <c r="K8" i="14"/>
  <c r="K10" i="14"/>
  <c r="K11" i="14"/>
  <c r="K12" i="14"/>
  <c r="K14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1" i="14"/>
  <c r="K34" i="14"/>
  <c r="K35" i="14"/>
  <c r="K36" i="14"/>
  <c r="K38" i="14"/>
  <c r="L3" i="14"/>
  <c r="L4" i="14"/>
  <c r="L5" i="14"/>
  <c r="L8" i="14"/>
  <c r="L10" i="14"/>
  <c r="L11" i="14"/>
  <c r="L12" i="14"/>
  <c r="L14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4" i="14"/>
  <c r="L35" i="14"/>
  <c r="L36" i="14"/>
  <c r="L38" i="14"/>
  <c r="M3" i="14"/>
  <c r="M4" i="14"/>
  <c r="M5" i="14"/>
  <c r="M8" i="14"/>
  <c r="M10" i="14"/>
  <c r="M11" i="14"/>
  <c r="M12" i="14"/>
  <c r="M14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1" i="14"/>
  <c r="M34" i="14"/>
  <c r="M35" i="14"/>
  <c r="M36" i="14"/>
  <c r="M38" i="14"/>
  <c r="N3" i="14"/>
  <c r="N4" i="14"/>
  <c r="N5" i="14"/>
  <c r="N8" i="14"/>
  <c r="N10" i="14"/>
  <c r="N11" i="14"/>
  <c r="N12" i="14"/>
  <c r="N14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1" i="14"/>
  <c r="N34" i="14"/>
  <c r="N35" i="14"/>
  <c r="N36" i="14"/>
  <c r="N38" i="14"/>
  <c r="O3" i="14"/>
  <c r="O4" i="14"/>
  <c r="O5" i="14"/>
  <c r="O8" i="14"/>
  <c r="O10" i="14"/>
  <c r="O11" i="14"/>
  <c r="O12" i="14"/>
  <c r="O14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1" i="14"/>
  <c r="O34" i="14"/>
  <c r="O35" i="14"/>
  <c r="O36" i="14"/>
  <c r="O38" i="14"/>
  <c r="P38" i="14"/>
  <c r="E52" i="1"/>
  <c r="C36" i="14"/>
  <c r="P34" i="14"/>
  <c r="P35" i="14"/>
  <c r="P36" i="14"/>
  <c r="R36" i="14"/>
  <c r="P8" i="18"/>
  <c r="P12" i="18"/>
  <c r="P28" i="18"/>
  <c r="P29" i="18"/>
  <c r="P30" i="18"/>
  <c r="P32" i="18"/>
  <c r="I287" i="17"/>
  <c r="G287" i="17"/>
  <c r="V98" i="17"/>
  <c r="K430" i="15"/>
  <c r="K429" i="15"/>
  <c r="K428" i="15"/>
  <c r="K427" i="15"/>
  <c r="M15" i="15"/>
  <c r="L37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K290" i="15"/>
  <c r="L290" i="15"/>
  <c r="K291" i="15"/>
  <c r="L291" i="15"/>
  <c r="K292" i="15"/>
  <c r="L292" i="15"/>
  <c r="K293" i="15"/>
  <c r="L293" i="15"/>
  <c r="K294" i="15"/>
  <c r="L294" i="15"/>
  <c r="K295" i="15"/>
  <c r="L295" i="15"/>
  <c r="K296" i="15"/>
  <c r="L296" i="15"/>
  <c r="K297" i="15"/>
  <c r="L297" i="15"/>
  <c r="K298" i="15"/>
  <c r="L298" i="15"/>
  <c r="K299" i="15"/>
  <c r="L299" i="15"/>
  <c r="K300" i="15"/>
  <c r="L300" i="15"/>
  <c r="K301" i="15"/>
  <c r="L301" i="15"/>
  <c r="K302" i="15"/>
  <c r="L302" i="15"/>
  <c r="K303" i="15"/>
  <c r="L303" i="15"/>
  <c r="K304" i="15"/>
  <c r="L304" i="15"/>
  <c r="K305" i="15"/>
  <c r="L305" i="15"/>
  <c r="K306" i="15"/>
  <c r="L306" i="15"/>
  <c r="K307" i="15"/>
  <c r="L307" i="15"/>
  <c r="K308" i="15"/>
  <c r="L308" i="15"/>
  <c r="K309" i="15"/>
  <c r="L309" i="15"/>
  <c r="K310" i="15"/>
  <c r="L310" i="15"/>
  <c r="K311" i="15"/>
  <c r="L311" i="15"/>
  <c r="K312" i="15"/>
  <c r="L312" i="15"/>
  <c r="K313" i="15"/>
  <c r="L313" i="15"/>
  <c r="K314" i="15"/>
  <c r="L314" i="15"/>
  <c r="K315" i="15"/>
  <c r="L315" i="15"/>
  <c r="K316" i="15"/>
  <c r="L316" i="15"/>
  <c r="K317" i="15"/>
  <c r="L317" i="15"/>
  <c r="K318" i="15"/>
  <c r="L318" i="15"/>
  <c r="K319" i="15"/>
  <c r="L319" i="15"/>
  <c r="K320" i="15"/>
  <c r="L320" i="15"/>
  <c r="K321" i="15"/>
  <c r="L321" i="15"/>
  <c r="K322" i="15"/>
  <c r="L322" i="15"/>
  <c r="K323" i="15"/>
  <c r="L323" i="15"/>
  <c r="K324" i="15"/>
  <c r="L324" i="15"/>
  <c r="K325" i="15"/>
  <c r="L325" i="15"/>
  <c r="K326" i="15"/>
  <c r="L326" i="15"/>
  <c r="K327" i="15"/>
  <c r="L327" i="15"/>
  <c r="K328" i="15"/>
  <c r="L328" i="15"/>
  <c r="K329" i="15"/>
  <c r="L329" i="15"/>
  <c r="K330" i="15"/>
  <c r="L330" i="15"/>
  <c r="K331" i="15"/>
  <c r="L331" i="15"/>
  <c r="K332" i="15"/>
  <c r="L332" i="15"/>
  <c r="K333" i="15"/>
  <c r="L333" i="15"/>
  <c r="K334" i="15"/>
  <c r="L334" i="15"/>
  <c r="K335" i="15"/>
  <c r="L335" i="15"/>
  <c r="K336" i="15"/>
  <c r="L336" i="15"/>
  <c r="K337" i="15"/>
  <c r="L337" i="15"/>
  <c r="K338" i="15"/>
  <c r="L338" i="15"/>
  <c r="K339" i="15"/>
  <c r="L339" i="15"/>
  <c r="K340" i="15"/>
  <c r="L340" i="15"/>
  <c r="K341" i="15"/>
  <c r="L341" i="15"/>
  <c r="K342" i="15"/>
  <c r="L342" i="15"/>
  <c r="K343" i="15"/>
  <c r="L343" i="15"/>
  <c r="K344" i="15"/>
  <c r="L344" i="15"/>
  <c r="K345" i="15"/>
  <c r="L345" i="15"/>
  <c r="K346" i="15"/>
  <c r="L346" i="15"/>
  <c r="K347" i="15"/>
  <c r="L347" i="15"/>
  <c r="K348" i="15"/>
  <c r="L348" i="15"/>
  <c r="K349" i="15"/>
  <c r="L349" i="15"/>
  <c r="K350" i="15"/>
  <c r="L350" i="15"/>
  <c r="K351" i="15"/>
  <c r="L351" i="15"/>
  <c r="K352" i="15"/>
  <c r="L352" i="15"/>
  <c r="K353" i="15"/>
  <c r="L353" i="15"/>
  <c r="K354" i="15"/>
  <c r="L354" i="15"/>
  <c r="K355" i="15"/>
  <c r="L355" i="15"/>
  <c r="K356" i="15"/>
  <c r="L356" i="15"/>
  <c r="K357" i="15"/>
  <c r="L357" i="15"/>
  <c r="K358" i="15"/>
  <c r="L358" i="15"/>
  <c r="K359" i="15"/>
  <c r="L359" i="15"/>
  <c r="K360" i="15"/>
  <c r="L360" i="15"/>
  <c r="K361" i="15"/>
  <c r="L361" i="15"/>
  <c r="K362" i="15"/>
  <c r="L362" i="15"/>
  <c r="K363" i="15"/>
  <c r="L363" i="15"/>
  <c r="K364" i="15"/>
  <c r="L364" i="15"/>
  <c r="K365" i="15"/>
  <c r="L365" i="15"/>
  <c r="K366" i="15"/>
  <c r="L366" i="15"/>
  <c r="K367" i="15"/>
  <c r="L367" i="15"/>
  <c r="K368" i="15"/>
  <c r="L368" i="15"/>
  <c r="K369" i="15"/>
  <c r="L369" i="15"/>
  <c r="K370" i="15"/>
  <c r="L370" i="15"/>
  <c r="K371" i="15"/>
  <c r="L371" i="15"/>
  <c r="K372" i="15"/>
  <c r="L372" i="15"/>
  <c r="K373" i="15"/>
  <c r="L373" i="15"/>
  <c r="K374" i="15"/>
  <c r="L374" i="15"/>
  <c r="K375" i="15"/>
  <c r="L375" i="15"/>
  <c r="K376" i="15"/>
  <c r="L376" i="15"/>
  <c r="K377" i="15"/>
  <c r="L377" i="15"/>
  <c r="K378" i="15"/>
  <c r="L378" i="15"/>
  <c r="K379" i="15"/>
  <c r="L379" i="15"/>
  <c r="K380" i="15"/>
  <c r="L380" i="15"/>
  <c r="K381" i="15"/>
  <c r="L381" i="15"/>
  <c r="K382" i="15"/>
  <c r="L382" i="15"/>
  <c r="K383" i="15"/>
  <c r="L383" i="15"/>
  <c r="K384" i="15"/>
  <c r="L384" i="15"/>
  <c r="K385" i="15"/>
  <c r="L385" i="15"/>
  <c r="K386" i="15"/>
  <c r="L386" i="15"/>
  <c r="K387" i="15"/>
  <c r="L387" i="15"/>
  <c r="K388" i="15"/>
  <c r="L388" i="15"/>
  <c r="K389" i="15"/>
  <c r="L389" i="15"/>
  <c r="K390" i="15"/>
  <c r="L390" i="15"/>
  <c r="K391" i="15"/>
  <c r="L391" i="15"/>
  <c r="K392" i="15"/>
  <c r="L392" i="15"/>
  <c r="K393" i="15"/>
  <c r="L393" i="15"/>
  <c r="K394" i="15"/>
  <c r="L394" i="15"/>
  <c r="K395" i="15"/>
  <c r="L395" i="15"/>
  <c r="K396" i="15"/>
  <c r="L396" i="15"/>
  <c r="K397" i="15"/>
  <c r="L397" i="15"/>
  <c r="K398" i="15"/>
  <c r="L398" i="15"/>
  <c r="K399" i="15"/>
  <c r="L399" i="15"/>
  <c r="K400" i="15"/>
  <c r="L400" i="15"/>
  <c r="K401" i="15"/>
  <c r="L401" i="15"/>
  <c r="K402" i="15"/>
  <c r="L402" i="15"/>
  <c r="K403" i="15"/>
  <c r="L403" i="15"/>
  <c r="K404" i="15"/>
  <c r="L404" i="15"/>
  <c r="K405" i="15"/>
  <c r="L405" i="15"/>
  <c r="K406" i="15"/>
  <c r="L406" i="15"/>
  <c r="K407" i="15"/>
  <c r="L407" i="15"/>
  <c r="K408" i="15"/>
  <c r="L408" i="15"/>
  <c r="K409" i="15"/>
  <c r="L409" i="15"/>
  <c r="K410" i="15"/>
  <c r="L410" i="15"/>
  <c r="K411" i="15"/>
  <c r="L411" i="15"/>
  <c r="K412" i="15"/>
  <c r="L412" i="15"/>
  <c r="K413" i="15"/>
  <c r="L413" i="15"/>
  <c r="K414" i="15"/>
  <c r="L414" i="15"/>
  <c r="K415" i="15"/>
  <c r="L415" i="15"/>
  <c r="K416" i="15"/>
  <c r="L416" i="15"/>
  <c r="K417" i="15"/>
  <c r="L417" i="15"/>
  <c r="K418" i="15"/>
  <c r="L418" i="15"/>
  <c r="K419" i="15"/>
  <c r="L419" i="15"/>
  <c r="K420" i="15"/>
  <c r="L420" i="15"/>
  <c r="K421" i="15"/>
  <c r="L421" i="15"/>
  <c r="K422" i="15"/>
  <c r="L422" i="15"/>
  <c r="K423" i="15"/>
  <c r="L423" i="15"/>
  <c r="L424" i="15"/>
  <c r="K425" i="15"/>
  <c r="L425" i="15"/>
  <c r="K426" i="15"/>
  <c r="L426" i="15"/>
  <c r="L427" i="15"/>
  <c r="L428" i="15"/>
  <c r="L429" i="15"/>
  <c r="L430" i="15"/>
  <c r="K431" i="15"/>
  <c r="L431" i="15"/>
  <c r="K432" i="15"/>
  <c r="L432" i="15"/>
  <c r="K433" i="15"/>
  <c r="L433" i="15"/>
  <c r="K434" i="15"/>
  <c r="L434" i="15"/>
  <c r="K435" i="15"/>
  <c r="L435" i="15"/>
  <c r="K436" i="15"/>
  <c r="L436" i="15"/>
  <c r="K437" i="15"/>
  <c r="L437" i="15"/>
  <c r="H475" i="15"/>
  <c r="L442" i="15"/>
  <c r="U403" i="15"/>
  <c r="U368" i="15"/>
  <c r="U335" i="15"/>
  <c r="U300" i="15"/>
  <c r="U272" i="15"/>
  <c r="U244" i="15"/>
  <c r="U218" i="15"/>
  <c r="V116" i="15"/>
  <c r="L26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411" i="13"/>
  <c r="C4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D35" i="16"/>
  <c r="E35" i="16"/>
  <c r="F35" i="16"/>
  <c r="G35" i="16"/>
  <c r="H35" i="16"/>
  <c r="I35" i="16"/>
  <c r="J35" i="16"/>
  <c r="K35" i="16"/>
  <c r="L35" i="16"/>
  <c r="M35" i="16"/>
  <c r="K438" i="15"/>
  <c r="K439" i="15"/>
  <c r="N35" i="16"/>
  <c r="O35" i="16"/>
  <c r="P35" i="16"/>
  <c r="P36" i="16"/>
  <c r="C36" i="16"/>
  <c r="R36" i="16"/>
  <c r="P3" i="14"/>
  <c r="P4" i="14"/>
  <c r="P5" i="14"/>
  <c r="P41" i="14"/>
  <c r="P10" i="14"/>
  <c r="P11" i="14"/>
  <c r="P14" i="14"/>
  <c r="P18" i="14"/>
  <c r="P19" i="14"/>
  <c r="P21" i="14"/>
  <c r="P20" i="14"/>
  <c r="P22" i="14"/>
  <c r="P23" i="14"/>
  <c r="P24" i="14"/>
  <c r="P25" i="14"/>
  <c r="P26" i="14"/>
  <c r="E10" i="1"/>
  <c r="E11" i="1"/>
  <c r="E12" i="1"/>
  <c r="E14" i="1"/>
  <c r="E15" i="1"/>
  <c r="E16" i="1"/>
  <c r="E17" i="1"/>
  <c r="E32" i="1"/>
  <c r="E18" i="1"/>
  <c r="E21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9" i="1"/>
  <c r="E41" i="1"/>
  <c r="E57" i="1"/>
  <c r="C12" i="1"/>
  <c r="C21" i="1"/>
  <c r="C37" i="1"/>
  <c r="C39" i="1"/>
  <c r="C41" i="1"/>
  <c r="C57" i="1"/>
  <c r="C59" i="1"/>
  <c r="E55" i="1"/>
  <c r="E59" i="1"/>
  <c r="D40" i="16"/>
  <c r="D41" i="16"/>
  <c r="D42" i="16"/>
  <c r="D44" i="16"/>
  <c r="E42" i="16"/>
  <c r="E44" i="16"/>
  <c r="F42" i="16"/>
  <c r="F44" i="16"/>
  <c r="G42" i="16"/>
  <c r="G44" i="16"/>
  <c r="H42" i="16"/>
  <c r="H44" i="16"/>
  <c r="I42" i="16"/>
  <c r="I44" i="16"/>
  <c r="J42" i="16"/>
  <c r="J44" i="16"/>
  <c r="K42" i="16"/>
  <c r="K44" i="16"/>
  <c r="L42" i="16"/>
  <c r="L44" i="16"/>
  <c r="M42" i="16"/>
  <c r="M44" i="16"/>
  <c r="N42" i="16"/>
  <c r="N44" i="16"/>
  <c r="O42" i="16"/>
  <c r="O44" i="16"/>
  <c r="P44" i="16"/>
  <c r="C38" i="16"/>
  <c r="D3" i="16"/>
  <c r="D4" i="16"/>
  <c r="D5" i="16"/>
  <c r="D6" i="16"/>
  <c r="D7" i="16"/>
  <c r="D8" i="16"/>
  <c r="D9" i="16"/>
  <c r="D10" i="16"/>
  <c r="D11" i="16"/>
  <c r="D12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1" i="16"/>
  <c r="D36" i="16"/>
  <c r="D38" i="16"/>
  <c r="E3" i="16"/>
  <c r="E4" i="16"/>
  <c r="E5" i="16"/>
  <c r="E6" i="16"/>
  <c r="E7" i="16"/>
  <c r="E8" i="16"/>
  <c r="E9" i="16"/>
  <c r="E10" i="16"/>
  <c r="E11" i="16"/>
  <c r="E12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1" i="16"/>
  <c r="E36" i="16"/>
  <c r="E38" i="16"/>
  <c r="F3" i="16"/>
  <c r="F4" i="16"/>
  <c r="F5" i="16"/>
  <c r="F6" i="16"/>
  <c r="F7" i="16"/>
  <c r="F8" i="16"/>
  <c r="F9" i="16"/>
  <c r="F10" i="16"/>
  <c r="F11" i="16"/>
  <c r="F12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1" i="16"/>
  <c r="F36" i="16"/>
  <c r="F38" i="16"/>
  <c r="G3" i="16"/>
  <c r="G4" i="16"/>
  <c r="G5" i="16"/>
  <c r="G6" i="16"/>
  <c r="G7" i="16"/>
  <c r="G8" i="16"/>
  <c r="G9" i="16"/>
  <c r="G10" i="16"/>
  <c r="G11" i="16"/>
  <c r="G12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1" i="16"/>
  <c r="G36" i="16"/>
  <c r="G38" i="16"/>
  <c r="H3" i="16"/>
  <c r="H4" i="16"/>
  <c r="H5" i="16"/>
  <c r="H6" i="16"/>
  <c r="H7" i="16"/>
  <c r="H8" i="16"/>
  <c r="H9" i="16"/>
  <c r="H10" i="16"/>
  <c r="H11" i="16"/>
  <c r="H12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1" i="16"/>
  <c r="H36" i="16"/>
  <c r="H38" i="16"/>
  <c r="I3" i="16"/>
  <c r="I4" i="16"/>
  <c r="I5" i="16"/>
  <c r="I6" i="16"/>
  <c r="I7" i="16"/>
  <c r="I8" i="16"/>
  <c r="I9" i="16"/>
  <c r="I10" i="16"/>
  <c r="I11" i="16"/>
  <c r="I12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1" i="16"/>
  <c r="I36" i="16"/>
  <c r="I38" i="16"/>
  <c r="J3" i="16"/>
  <c r="J4" i="16"/>
  <c r="J5" i="16"/>
  <c r="J6" i="16"/>
  <c r="J7" i="16"/>
  <c r="J8" i="16"/>
  <c r="J9" i="16"/>
  <c r="J10" i="16"/>
  <c r="J11" i="16"/>
  <c r="J12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1" i="16"/>
  <c r="J36" i="16"/>
  <c r="J38" i="16"/>
  <c r="K3" i="16"/>
  <c r="K4" i="16"/>
  <c r="K5" i="16"/>
  <c r="K6" i="16"/>
  <c r="K7" i="16"/>
  <c r="K8" i="16"/>
  <c r="K9" i="16"/>
  <c r="K10" i="16"/>
  <c r="K11" i="16"/>
  <c r="K12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1" i="16"/>
  <c r="K36" i="16"/>
  <c r="K38" i="16"/>
  <c r="L3" i="16"/>
  <c r="L4" i="16"/>
  <c r="L5" i="16"/>
  <c r="L6" i="16"/>
  <c r="L7" i="16"/>
  <c r="L8" i="16"/>
  <c r="L9" i="16"/>
  <c r="L10" i="16"/>
  <c r="L11" i="16"/>
  <c r="L12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1" i="16"/>
  <c r="L36" i="16"/>
  <c r="L38" i="16"/>
  <c r="M3" i="16"/>
  <c r="M4" i="16"/>
  <c r="M5" i="16"/>
  <c r="M6" i="16"/>
  <c r="M7" i="16"/>
  <c r="M8" i="16"/>
  <c r="M9" i="16"/>
  <c r="M10" i="16"/>
  <c r="M11" i="16"/>
  <c r="M12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1" i="16"/>
  <c r="M36" i="16"/>
  <c r="M38" i="16"/>
  <c r="N3" i="16"/>
  <c r="N4" i="16"/>
  <c r="N5" i="16"/>
  <c r="N6" i="16"/>
  <c r="N7" i="16"/>
  <c r="N8" i="16"/>
  <c r="N9" i="16"/>
  <c r="N10" i="16"/>
  <c r="N11" i="16"/>
  <c r="N12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1" i="16"/>
  <c r="N36" i="16"/>
  <c r="N38" i="16"/>
  <c r="O3" i="16"/>
  <c r="O4" i="16"/>
  <c r="O5" i="16"/>
  <c r="O6" i="16"/>
  <c r="O7" i="16"/>
  <c r="O8" i="16"/>
  <c r="O9" i="16"/>
  <c r="O10" i="16"/>
  <c r="O11" i="16"/>
  <c r="O12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1" i="16"/>
  <c r="O36" i="16"/>
  <c r="O38" i="16"/>
  <c r="P38" i="16"/>
  <c r="P26" i="16"/>
  <c r="P25" i="16"/>
  <c r="P24" i="16"/>
  <c r="P23" i="16"/>
  <c r="P22" i="16"/>
  <c r="P20" i="16"/>
  <c r="P21" i="16"/>
  <c r="P19" i="16"/>
  <c r="P18" i="16"/>
  <c r="P17" i="16"/>
  <c r="P16" i="16"/>
  <c r="P15" i="16"/>
  <c r="P14" i="16"/>
  <c r="P11" i="16"/>
  <c r="P10" i="16"/>
  <c r="P41" i="16"/>
  <c r="P9" i="16"/>
  <c r="P7" i="16"/>
  <c r="P6" i="16"/>
  <c r="P5" i="16"/>
  <c r="P4" i="16"/>
  <c r="P3" i="16"/>
  <c r="I50" i="1"/>
  <c r="I53" i="1"/>
  <c r="P40" i="16"/>
  <c r="P42" i="16"/>
  <c r="P8" i="16"/>
  <c r="P12" i="16"/>
  <c r="P27" i="16"/>
  <c r="P28" i="16"/>
  <c r="P29" i="16"/>
  <c r="P31" i="16"/>
  <c r="Q29" i="16"/>
  <c r="Q12" i="16"/>
  <c r="L460" i="15"/>
  <c r="I438" i="15"/>
  <c r="G438" i="15"/>
  <c r="V189" i="15"/>
  <c r="V143" i="15"/>
  <c r="V153" i="15"/>
  <c r="V156" i="15"/>
  <c r="V77" i="15"/>
  <c r="V79" i="15"/>
  <c r="P27" i="3"/>
  <c r="P28" i="3"/>
  <c r="L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68" i="6"/>
  <c r="M355" i="6"/>
  <c r="M331" i="6"/>
  <c r="P27" i="14"/>
  <c r="P8" i="14"/>
  <c r="P28" i="14"/>
  <c r="P12" i="14"/>
  <c r="C50" i="1"/>
  <c r="C53" i="1"/>
  <c r="E50" i="1"/>
  <c r="E53" i="1"/>
  <c r="Q29" i="14"/>
  <c r="Q12" i="14"/>
  <c r="Q12" i="3"/>
  <c r="Q29" i="3"/>
  <c r="P40" i="14"/>
  <c r="P42" i="14"/>
  <c r="L375" i="6"/>
  <c r="P40" i="3"/>
  <c r="P42" i="3"/>
  <c r="I185" i="6"/>
  <c r="I173" i="6"/>
  <c r="I194" i="6"/>
  <c r="I227" i="6"/>
  <c r="I244" i="6"/>
  <c r="I247" i="6"/>
  <c r="I268" i="6"/>
  <c r="I286" i="6"/>
  <c r="P12" i="3"/>
  <c r="P29" i="3"/>
  <c r="P31" i="3"/>
  <c r="I13" i="6"/>
  <c r="I17" i="6"/>
  <c r="I26" i="6"/>
  <c r="I32" i="6"/>
  <c r="I34" i="6"/>
  <c r="I38" i="6"/>
  <c r="I44" i="6"/>
  <c r="I61" i="6"/>
  <c r="I63" i="6"/>
  <c r="I71" i="6"/>
  <c r="I91" i="6"/>
  <c r="I94" i="6"/>
  <c r="I101" i="6"/>
  <c r="I106" i="6"/>
  <c r="I130" i="6"/>
  <c r="I141" i="6"/>
  <c r="I145" i="6"/>
  <c r="I150" i="6"/>
  <c r="I160" i="6"/>
  <c r="I217" i="6"/>
  <c r="I221" i="6"/>
  <c r="I232" i="6"/>
  <c r="I275" i="6"/>
  <c r="I281" i="6"/>
  <c r="I292" i="6"/>
  <c r="I295" i="6"/>
  <c r="I304" i="6"/>
  <c r="I320" i="6"/>
  <c r="I326" i="6"/>
  <c r="I330" i="6"/>
  <c r="I346" i="6"/>
  <c r="I348" i="6"/>
  <c r="M305" i="6"/>
  <c r="Q54" i="6"/>
  <c r="M278" i="6"/>
  <c r="N254" i="6"/>
  <c r="M240" i="6"/>
  <c r="M218" i="6"/>
  <c r="M190" i="6"/>
  <c r="M155" i="6"/>
  <c r="O132" i="6"/>
  <c r="M120" i="6"/>
  <c r="O118" i="6"/>
  <c r="M100" i="6"/>
  <c r="M81" i="6"/>
  <c r="O49" i="6"/>
  <c r="O80" i="6"/>
  <c r="O98" i="6"/>
  <c r="O168" i="6"/>
  <c r="O346" i="6"/>
  <c r="C131" i="6"/>
  <c r="C259" i="6"/>
  <c r="G259" i="6"/>
  <c r="E131" i="6"/>
  <c r="N132" i="6"/>
  <c r="N168" i="6"/>
  <c r="C99" i="6"/>
  <c r="C118" i="6"/>
  <c r="C98" i="6"/>
  <c r="C119" i="6"/>
  <c r="G80" i="6"/>
  <c r="G99" i="6"/>
  <c r="G118" i="6"/>
  <c r="G79" i="6"/>
  <c r="G98" i="6"/>
  <c r="G119" i="6"/>
  <c r="N80" i="6"/>
  <c r="G168" i="6"/>
  <c r="C202" i="6"/>
  <c r="G358" i="6"/>
  <c r="I358" i="6"/>
  <c r="G50" i="1"/>
  <c r="G53" i="1"/>
  <c r="P29" i="14"/>
  <c r="P31" i="14"/>
</calcChain>
</file>

<file path=xl/sharedStrings.xml><?xml version="1.0" encoding="utf-8"?>
<sst xmlns="http://schemas.openxmlformats.org/spreadsheetml/2006/main" count="12725" uniqueCount="2365">
  <si>
    <t>WILLASTON MEMORIAL HALL</t>
  </si>
  <si>
    <t>INCOME</t>
  </si>
  <si>
    <t>Lettings -  Regular</t>
  </si>
  <si>
    <t>Lettings -  Casual</t>
  </si>
  <si>
    <t>Bank Interest</t>
  </si>
  <si>
    <t>Soup Lunches</t>
  </si>
  <si>
    <t>EXPENDITURE</t>
  </si>
  <si>
    <t>Repairs &amp; Maintenance</t>
  </si>
  <si>
    <t>Gas</t>
  </si>
  <si>
    <t>Electricity</t>
  </si>
  <si>
    <t>Insurance</t>
  </si>
  <si>
    <t>Water</t>
  </si>
  <si>
    <t>Cleaning</t>
  </si>
  <si>
    <t>Licences</t>
  </si>
  <si>
    <t>SURPLUS</t>
  </si>
  <si>
    <t>Secure Trust Bank Deposit account</t>
  </si>
  <si>
    <t>LESS</t>
  </si>
  <si>
    <t>Hall Hire Deposits</t>
  </si>
  <si>
    <t>Represented by:</t>
  </si>
  <si>
    <t xml:space="preserve">Accumulated Fund brought forward </t>
  </si>
  <si>
    <t>From the records and information available to me I confirm that, in my opinion, the above statements properly</t>
  </si>
  <si>
    <t>represent the activities of Willaston Memorial Hall, Charity No 520090.</t>
  </si>
  <si>
    <t>NCW Pratten Certified Accountant &amp; Auditor</t>
  </si>
  <si>
    <t>Date</t>
  </si>
  <si>
    <t>FORWARD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</si>
  <si>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</si>
  <si>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</si>
  <si>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</si>
  <si>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</si>
  <si>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</si>
  <si>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</si>
  <si>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</si>
  <si>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</si>
  <si>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</si>
  <si>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</si>
  <si>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Budget</t>
  </si>
  <si>
    <t>Lettings Regular</t>
  </si>
  <si>
    <t>Lettings Casual</t>
  </si>
  <si>
    <t>Gift Aid</t>
  </si>
  <si>
    <t>Secure Deposit Interest</t>
  </si>
  <si>
    <t>Repair &amp; Maintenance</t>
  </si>
  <si>
    <t>Narrative</t>
  </si>
  <si>
    <t>Cq no 500</t>
  </si>
  <si>
    <t>Receipts</t>
  </si>
  <si>
    <t>Payments</t>
  </si>
  <si>
    <t>Balance</t>
  </si>
  <si>
    <t>RECONCILED</t>
  </si>
  <si>
    <t>POPPIES</t>
  </si>
  <si>
    <t>Rentokil</t>
  </si>
  <si>
    <t>DD</t>
  </si>
  <si>
    <t>B Gas</t>
  </si>
  <si>
    <t>gas</t>
  </si>
  <si>
    <t>electricity</t>
  </si>
  <si>
    <t>United Utilities</t>
  </si>
  <si>
    <t>SO</t>
  </si>
  <si>
    <t>Poppies</t>
  </si>
  <si>
    <t>Payment</t>
  </si>
  <si>
    <t>Invoice</t>
  </si>
  <si>
    <t>British Gas</t>
  </si>
  <si>
    <t>cleaning</t>
  </si>
  <si>
    <t>C</t>
  </si>
  <si>
    <t>D</t>
  </si>
  <si>
    <t>E</t>
  </si>
  <si>
    <t>Electric</t>
  </si>
  <si>
    <t>G</t>
  </si>
  <si>
    <t>L</t>
  </si>
  <si>
    <t>Licence PRS</t>
  </si>
  <si>
    <t>M</t>
  </si>
  <si>
    <t>P</t>
  </si>
  <si>
    <t>S</t>
  </si>
  <si>
    <t xml:space="preserve">Sundries </t>
  </si>
  <si>
    <t>U</t>
  </si>
  <si>
    <t>United Utilities - Water</t>
  </si>
  <si>
    <t xml:space="preserve">Surplus for the year </t>
  </si>
  <si>
    <t>Donation &amp; grants expenditure</t>
  </si>
  <si>
    <t>Balance per accounts</t>
  </si>
  <si>
    <t>RECONCILIATION</t>
  </si>
  <si>
    <t>Grants expenditure</t>
  </si>
  <si>
    <t>1 Feb</t>
  </si>
  <si>
    <t>1 Mar</t>
  </si>
  <si>
    <t>1 Apr</t>
  </si>
  <si>
    <t>1 Sep</t>
  </si>
  <si>
    <t>1 Nov</t>
  </si>
  <si>
    <t>1 Dec</t>
  </si>
  <si>
    <t>3 May</t>
  </si>
  <si>
    <t>Maintenance Project</t>
  </si>
  <si>
    <t>Website</t>
  </si>
  <si>
    <t>JF Heating Engineers</t>
  </si>
  <si>
    <t>2 Jun</t>
  </si>
  <si>
    <t xml:space="preserve"> REK Greenfield (Honorary Treasurer)</t>
  </si>
  <si>
    <t>*</t>
  </si>
  <si>
    <t>Deposit account - Secure Trust</t>
  </si>
  <si>
    <t>I</t>
  </si>
  <si>
    <t>Initial</t>
  </si>
  <si>
    <t>N</t>
  </si>
  <si>
    <t>Major Projects</t>
  </si>
  <si>
    <t>Z</t>
  </si>
  <si>
    <t>Zurich Insurance</t>
  </si>
  <si>
    <t>A</t>
  </si>
  <si>
    <t>Previous Years Audited Accounts</t>
  </si>
  <si>
    <t>B</t>
  </si>
  <si>
    <t>Treasurer Reports</t>
  </si>
  <si>
    <t>J</t>
  </si>
  <si>
    <t>Other Correspondence</t>
  </si>
  <si>
    <t>INDEX TO ACCOUNTS FOLDER</t>
  </si>
  <si>
    <t>Cash Books &amp; Co-Operative Bank Current Account</t>
  </si>
  <si>
    <t>Maintenance and Repairs</t>
  </si>
  <si>
    <t>Poppies Cleaning and other cleaning</t>
  </si>
  <si>
    <t>T</t>
  </si>
  <si>
    <t>Tax and HMRC Gift Aid</t>
  </si>
  <si>
    <t>Balance per bank statement - current acount</t>
  </si>
  <si>
    <t>Balance per bank statement - deposit acount</t>
  </si>
  <si>
    <t>Regular Booking receipts shown in Blue</t>
  </si>
  <si>
    <t>Security deposits in and out shown in yellow</t>
  </si>
  <si>
    <t>Cash Book from 1st January 2017 to 31st December 2017</t>
  </si>
  <si>
    <t>9</t>
  </si>
  <si>
    <t>Mersey Morris Men</t>
  </si>
  <si>
    <t>Donation</t>
  </si>
  <si>
    <t>DA &amp; MB Delmotte</t>
  </si>
  <si>
    <t>Hall casual</t>
  </si>
  <si>
    <t>Hadlow Road Singers</t>
  </si>
  <si>
    <t>Wilastonkey WI</t>
  </si>
  <si>
    <t>Mr &amp; Mrs Fisher</t>
  </si>
  <si>
    <t>Committee Room</t>
  </si>
  <si>
    <t>Key Deposit  1</t>
  </si>
  <si>
    <t>3</t>
  </si>
  <si>
    <t>Willaston Bridge Club</t>
  </si>
  <si>
    <t>5</t>
  </si>
  <si>
    <t>Willaston Horticultural</t>
  </si>
  <si>
    <t>Willaston WI</t>
  </si>
  <si>
    <t>Invoice 1716</t>
  </si>
  <si>
    <t>Invoice 1711</t>
  </si>
  <si>
    <t>Invoice 1707</t>
  </si>
  <si>
    <t>Invoice 1713</t>
  </si>
  <si>
    <t>invoice 1709</t>
  </si>
  <si>
    <t>Yoga Sarah Beck</t>
  </si>
  <si>
    <t>Donation Carols Dec</t>
  </si>
  <si>
    <t xml:space="preserve">13 </t>
  </si>
  <si>
    <t>Weightwatchers</t>
  </si>
  <si>
    <t>11</t>
  </si>
  <si>
    <t>Hadlow Ladies</t>
  </si>
  <si>
    <t>Country Market</t>
  </si>
  <si>
    <t>Brownies</t>
  </si>
  <si>
    <t>Guides</t>
  </si>
  <si>
    <t>Darby and Joan</t>
  </si>
  <si>
    <t>D &amp; MT Gough</t>
  </si>
  <si>
    <t>casual</t>
  </si>
  <si>
    <t>Security Deposit 2</t>
  </si>
  <si>
    <t>invoice 1701</t>
  </si>
  <si>
    <t>invoice 1710</t>
  </si>
  <si>
    <t>invoice 1706</t>
  </si>
  <si>
    <t>Invoice 1704</t>
  </si>
  <si>
    <t>Invoice 1703</t>
  </si>
  <si>
    <t>Invoice 1705</t>
  </si>
  <si>
    <t>NOTES:</t>
  </si>
  <si>
    <t>Invoice 2/1</t>
  </si>
  <si>
    <t>17</t>
  </si>
  <si>
    <t>J &amp; D Kershaw</t>
  </si>
  <si>
    <t>Hadlow Road station</t>
  </si>
  <si>
    <t>Residents Society</t>
  </si>
  <si>
    <t>security deposit 3</t>
  </si>
  <si>
    <t>invoice 1715</t>
  </si>
  <si>
    <t>invoice 1708</t>
  </si>
  <si>
    <t>J Walley</t>
  </si>
  <si>
    <t>security deposit 4</t>
  </si>
  <si>
    <t>South Wirral Lace</t>
  </si>
  <si>
    <t>Jane Nolan Pilates</t>
  </si>
  <si>
    <t>23</t>
  </si>
  <si>
    <t>Miss YM Jones</t>
  </si>
  <si>
    <t>K&amp;NJ Berry</t>
  </si>
  <si>
    <t>Security deposit 5</t>
  </si>
  <si>
    <t>Mr &amp;Mrs Fisher</t>
  </si>
  <si>
    <t>NG &amp; CC Withinshaw</t>
  </si>
  <si>
    <t>Security deposit 6</t>
  </si>
  <si>
    <t>S4YC</t>
  </si>
  <si>
    <t>Invoice 1702</t>
  </si>
  <si>
    <t>Invoice 1714</t>
  </si>
  <si>
    <t>Invoice 1717</t>
  </si>
  <si>
    <t>Willaston Country Market</t>
  </si>
  <si>
    <t>cheque dishonored</t>
  </si>
  <si>
    <t>31</t>
  </si>
  <si>
    <t>25</t>
  </si>
  <si>
    <t>4</t>
  </si>
  <si>
    <t>RNLI</t>
  </si>
  <si>
    <t xml:space="preserve">9 </t>
  </si>
  <si>
    <t>JF Engineering</t>
  </si>
  <si>
    <t>dishwasher leak</t>
  </si>
  <si>
    <t>Charges on dishonoured cheque</t>
  </si>
  <si>
    <t>Refund from 2016</t>
  </si>
  <si>
    <t>14</t>
  </si>
  <si>
    <t>AS Construction</t>
  </si>
  <si>
    <t>Major Repairs</t>
  </si>
  <si>
    <t>Direct</t>
  </si>
  <si>
    <t>Methodist Church</t>
  </si>
  <si>
    <t>soup lunch donation</t>
  </si>
  <si>
    <t>Willaston country Market</t>
  </si>
  <si>
    <t>refund of charges</t>
  </si>
  <si>
    <t>Invoice 1706</t>
  </si>
  <si>
    <t>Mr&amp;Mrs Fisher</t>
  </si>
  <si>
    <t>J Murphy</t>
  </si>
  <si>
    <t>ZA &amp; DA Smith</t>
  </si>
  <si>
    <t>Sarah Shannon</t>
  </si>
  <si>
    <t>Dr AJ Fletcher</t>
  </si>
  <si>
    <t>1</t>
  </si>
  <si>
    <t>casual letting</t>
  </si>
  <si>
    <t>Repay security dep 7</t>
  </si>
  <si>
    <t>Repay security dep 3</t>
  </si>
  <si>
    <t>Refund of casual letting</t>
  </si>
  <si>
    <t>Repay security dep 2</t>
  </si>
  <si>
    <t>Security Deposit 7</t>
  </si>
  <si>
    <t>J Simms for Whalley</t>
  </si>
  <si>
    <t>Repay security dep 4</t>
  </si>
  <si>
    <t>re Quirk 2016</t>
  </si>
  <si>
    <t>Repay security dep 6</t>
  </si>
  <si>
    <t>P Irving</t>
  </si>
  <si>
    <t>expenses</t>
  </si>
  <si>
    <t>Rainbows</t>
  </si>
  <si>
    <t>1st instalment</t>
  </si>
  <si>
    <t>Willastonhey WI</t>
  </si>
  <si>
    <t>caual letting</t>
  </si>
  <si>
    <t>concert society</t>
  </si>
  <si>
    <t>JL Fisher</t>
  </si>
  <si>
    <t>A Lea</t>
  </si>
  <si>
    <t xml:space="preserve">Lee Wilson </t>
  </si>
  <si>
    <t>Lee Wilson</t>
  </si>
  <si>
    <t>security deposit 8</t>
  </si>
  <si>
    <t>Soup Lunch</t>
  </si>
  <si>
    <t>S. Moary</t>
  </si>
  <si>
    <t>Guides 2nd instalment</t>
  </si>
  <si>
    <t>Brownies 2nd instalment</t>
  </si>
  <si>
    <t>Rainbows 2nd instalment</t>
  </si>
  <si>
    <t>Repay security dep 5</t>
  </si>
  <si>
    <t>Cheshire Community</t>
  </si>
  <si>
    <t>STO</t>
  </si>
  <si>
    <t>Doreen Francey</t>
  </si>
  <si>
    <t>Expenses claim</t>
  </si>
  <si>
    <t>J Ingle</t>
  </si>
  <si>
    <t>REK Greenfield</t>
  </si>
  <si>
    <t>6</t>
  </si>
  <si>
    <t>TJP Murray</t>
  </si>
  <si>
    <t>Willaston Rotary</t>
  </si>
  <si>
    <t>Security Deposit 9</t>
  </si>
  <si>
    <t>Security Deposit 10</t>
  </si>
  <si>
    <t>direct</t>
  </si>
  <si>
    <t>M Beck Yoga</t>
  </si>
  <si>
    <t>Yoga</t>
  </si>
  <si>
    <t>B Crilley</t>
  </si>
  <si>
    <t>Z M Timoney</t>
  </si>
  <si>
    <t>SLMora</t>
  </si>
  <si>
    <t>Security deposit 11</t>
  </si>
  <si>
    <t>Security deposit 12</t>
  </si>
  <si>
    <t>Awards for All</t>
  </si>
  <si>
    <t>Lottery Grant</t>
  </si>
  <si>
    <t>Data Protection</t>
  </si>
  <si>
    <t>annual fee</t>
  </si>
  <si>
    <t>18</t>
  </si>
  <si>
    <t>H O'Flaherty</t>
  </si>
  <si>
    <t>Security deposit 13</t>
  </si>
  <si>
    <t>26</t>
  </si>
  <si>
    <t>C.Jerrett</t>
  </si>
  <si>
    <t>Expenses</t>
  </si>
  <si>
    <t>Bain Boland</t>
  </si>
  <si>
    <t>website</t>
  </si>
  <si>
    <t>N. Wilson</t>
  </si>
  <si>
    <t>Y.Jones</t>
  </si>
  <si>
    <t>J.Nolan pilates</t>
  </si>
  <si>
    <t>Horticultural</t>
  </si>
  <si>
    <t>Miss L Dutton</t>
  </si>
  <si>
    <t>Val Fisher</t>
  </si>
  <si>
    <t>security deposit 14</t>
  </si>
  <si>
    <t>Natalie Wilson</t>
  </si>
  <si>
    <t>Repay security deposit 11</t>
  </si>
  <si>
    <t>ZA &amp; DZ Smith</t>
  </si>
  <si>
    <t>Repay security dep 15</t>
  </si>
  <si>
    <t>Security Deposit 15</t>
  </si>
  <si>
    <t>Mrs J Iball</t>
  </si>
  <si>
    <t>repyt of security deposit 9</t>
  </si>
  <si>
    <t>JEJ Iball</t>
  </si>
  <si>
    <t>Repay security deposit 8</t>
  </si>
  <si>
    <t>Willaston Physiso</t>
  </si>
  <si>
    <t>Whitefeather</t>
  </si>
  <si>
    <t>Cambridge Weight Plan</t>
  </si>
  <si>
    <t>Mark Lloyd Motors</t>
  </si>
  <si>
    <t>Wirral Bouncey Castle</t>
  </si>
  <si>
    <t>CWAC</t>
  </si>
  <si>
    <t>Hall Hire for Election</t>
  </si>
  <si>
    <t>Chubb</t>
  </si>
  <si>
    <t>Fire Equip service</t>
  </si>
  <si>
    <t>Uplighters</t>
  </si>
  <si>
    <t>repay of security dep14</t>
  </si>
  <si>
    <t>L Dutton</t>
  </si>
  <si>
    <t>compensation</t>
  </si>
  <si>
    <t>repay Security deposit 13</t>
  </si>
  <si>
    <t>Christ Church</t>
  </si>
  <si>
    <t>ZM Timoney</t>
  </si>
  <si>
    <t>Mrs C A Milne</t>
  </si>
  <si>
    <t>AM Hogg</t>
  </si>
  <si>
    <t>Jodie Carstairs</t>
  </si>
  <si>
    <t>security deposit 15</t>
  </si>
  <si>
    <t>BT</t>
  </si>
  <si>
    <t>Internet charges</t>
  </si>
  <si>
    <t>Telephone</t>
  </si>
  <si>
    <t>Final payment for works</t>
  </si>
  <si>
    <t>Venues4hire</t>
  </si>
  <si>
    <t>Website annual charge</t>
  </si>
  <si>
    <t>Poppies Finished</t>
  </si>
  <si>
    <t>Hadlow Station</t>
  </si>
  <si>
    <t>Horticultuiral</t>
  </si>
  <si>
    <t>5 Jul</t>
  </si>
  <si>
    <t>Repay sec deposit 15</t>
  </si>
  <si>
    <t>Greenfield re Rowe Barber</t>
  </si>
  <si>
    <t>Website advert</t>
  </si>
  <si>
    <t>online direct</t>
  </si>
  <si>
    <t>cleaning materials</t>
  </si>
  <si>
    <t>PRS for Music</t>
  </si>
  <si>
    <t>Performing rights licence</t>
  </si>
  <si>
    <t>WREN</t>
  </si>
  <si>
    <t>Waste Recycling Environmental Ltd</t>
  </si>
  <si>
    <t>Big Lottery Fund</t>
  </si>
  <si>
    <t>Grants for Internal Rejuvenation Project:</t>
  </si>
  <si>
    <t>Internal Rejuvenation project</t>
  </si>
  <si>
    <t>Z Timoney</t>
  </si>
  <si>
    <t>repay Sec dep 12</t>
  </si>
  <si>
    <t>Repay Security Dep10</t>
  </si>
  <si>
    <t>o/s</t>
  </si>
  <si>
    <t>Procleanse ltd</t>
  </si>
  <si>
    <t>Radiator Deposit</t>
  </si>
  <si>
    <t>On line</t>
  </si>
  <si>
    <t>Arnolds Interiors</t>
  </si>
  <si>
    <t>Online</t>
  </si>
  <si>
    <t>M Neenan t/a Ledsham Elec</t>
  </si>
  <si>
    <t>Ledsham Elec Contractors</t>
  </si>
  <si>
    <t>Repairs and Renewals</t>
  </si>
  <si>
    <t>Uplighters project</t>
  </si>
  <si>
    <t>02.08.17</t>
  </si>
  <si>
    <t>Miss F Crease</t>
  </si>
  <si>
    <t>Wedding Booking</t>
  </si>
  <si>
    <t>Mrs N Baines</t>
  </si>
  <si>
    <t>Hadlow Singers</t>
  </si>
  <si>
    <t>Margaret Delmotte</t>
  </si>
  <si>
    <t>Kerry Collins</t>
  </si>
  <si>
    <t>Security deposit 16</t>
  </si>
  <si>
    <t>Casual Booking</t>
  </si>
  <si>
    <t>Security deposit 17</t>
  </si>
  <si>
    <t>August</t>
  </si>
  <si>
    <t>Jerret re Jill Dawn</t>
  </si>
  <si>
    <t>Jane Nolan</t>
  </si>
  <si>
    <t>Pilates</t>
  </si>
  <si>
    <t>Etienne Decorators</t>
  </si>
  <si>
    <t>Hall Decoration</t>
  </si>
  <si>
    <t>Concert Society</t>
  </si>
  <si>
    <t>Horticulture</t>
  </si>
  <si>
    <t>South Wirral Lace Group</t>
  </si>
  <si>
    <t>Regular letting</t>
  </si>
  <si>
    <t>July</t>
  </si>
  <si>
    <t>Mrs VA Thompson</t>
  </si>
  <si>
    <t>Mrs S Moray</t>
  </si>
  <si>
    <t>2nd Brownie</t>
  </si>
  <si>
    <t>Security deposit 18</t>
  </si>
  <si>
    <t>Repay Security dep 17</t>
  </si>
  <si>
    <t>Cooker repair grill</t>
  </si>
  <si>
    <t>Invoice ?</t>
  </si>
  <si>
    <t>Guides final instalment</t>
  </si>
  <si>
    <t>Brownies final instalment</t>
  </si>
  <si>
    <t>Rainbows final instalment</t>
  </si>
  <si>
    <t>Willaston Day Centre</t>
  </si>
  <si>
    <t>Hooton Memorial Hall</t>
  </si>
  <si>
    <t>E A Young (Willaston Surgery</t>
  </si>
  <si>
    <t>to 25th September</t>
  </si>
  <si>
    <t>DA Delmotte</t>
  </si>
  <si>
    <t>Mrs C A Milne re Collins</t>
  </si>
  <si>
    <t>Balance for Radiators</t>
  </si>
  <si>
    <t>Rob King Reimburse</t>
  </si>
  <si>
    <t>PAS Sound Engineering</t>
  </si>
  <si>
    <t>New Sound System</t>
  </si>
  <si>
    <t>Radio Microphone</t>
  </si>
  <si>
    <t>Inv 6213</t>
  </si>
  <si>
    <t>inv 6215</t>
  </si>
  <si>
    <t>inv 6216</t>
  </si>
  <si>
    <t>Wifi interface</t>
  </si>
  <si>
    <t>Sheena Chalmers</t>
  </si>
  <si>
    <t>First Aid expenses</t>
  </si>
  <si>
    <t>12</t>
  </si>
  <si>
    <t>Arnolds</t>
  </si>
  <si>
    <t>Mrs VA Fisher</t>
  </si>
  <si>
    <t>Willaston Horticultural Soc</t>
  </si>
  <si>
    <t>Mrs S Shah</t>
  </si>
  <si>
    <t>Curtains Main Hall</t>
  </si>
  <si>
    <t>Carpets Passage</t>
  </si>
  <si>
    <t>Curtain Deposit</t>
  </si>
  <si>
    <t>Carpet Committee room</t>
  </si>
  <si>
    <t>Curtains Committee room</t>
  </si>
  <si>
    <t>Sonitech</t>
  </si>
  <si>
    <t>New CCTV equipment</t>
  </si>
  <si>
    <t>Onsite</t>
  </si>
  <si>
    <t>Sanding Hall floor</t>
  </si>
  <si>
    <t>Autumn term 2017</t>
  </si>
  <si>
    <t>Jill Nall</t>
  </si>
  <si>
    <t>Shelving</t>
  </si>
  <si>
    <t>)</t>
  </si>
  <si>
    <t>Oct</t>
  </si>
  <si>
    <t>P Thompson</t>
  </si>
  <si>
    <t>security refund 18</t>
  </si>
  <si>
    <t>JA Devine</t>
  </si>
  <si>
    <t>Security deposit 19</t>
  </si>
  <si>
    <t>28.10</t>
  </si>
  <si>
    <t>29</t>
  </si>
  <si>
    <t>Monday Club</t>
  </si>
  <si>
    <t>Regular Letting</t>
  </si>
  <si>
    <t>Rotary Club</t>
  </si>
  <si>
    <t>net £33 after adjustment</t>
  </si>
  <si>
    <t>one payment</t>
  </si>
  <si>
    <t>*2</t>
  </si>
  <si>
    <t>Mrs V Annahalli Obaiah</t>
  </si>
  <si>
    <t>Security deposit 20</t>
  </si>
  <si>
    <t>Royal British Legion</t>
  </si>
  <si>
    <t>Bridgewater Healthcare</t>
  </si>
  <si>
    <t>External Repairs &amp; Maintenance Project</t>
  </si>
  <si>
    <t>Grant</t>
  </si>
  <si>
    <t>Matthew Bradley</t>
  </si>
  <si>
    <t>security deposit 21</t>
  </si>
  <si>
    <t>casual booking</t>
  </si>
  <si>
    <t>Gabby Yoga</t>
  </si>
  <si>
    <t>Richard Hinds</t>
  </si>
  <si>
    <t>security deposit 22</t>
  </si>
  <si>
    <t>Refund security dep 21</t>
  </si>
  <si>
    <t>D.Mayhew</t>
  </si>
  <si>
    <t>Amanda Fisher</t>
  </si>
  <si>
    <t>Sue Moary</t>
  </si>
  <si>
    <t>banked</t>
  </si>
  <si>
    <t>December quarter</t>
  </si>
  <si>
    <t>J Devine</t>
  </si>
  <si>
    <t>Repay Security dep 19</t>
  </si>
  <si>
    <t>K Parrish</t>
  </si>
  <si>
    <t>Waste Recycling Environmental Ltd (WREN)</t>
  </si>
  <si>
    <t>Rob King</t>
  </si>
  <si>
    <t>expenses bulbs/batteries</t>
  </si>
  <si>
    <t>refund of casual booking</t>
  </si>
  <si>
    <t>Wendy Jones</t>
  </si>
  <si>
    <t>repay security dep 22</t>
  </si>
  <si>
    <t>Anna Obaiah</t>
  </si>
  <si>
    <t>Repay Security dep 20</t>
  </si>
  <si>
    <t>regular letting</t>
  </si>
  <si>
    <t xml:space="preserve">Liz Young </t>
  </si>
  <si>
    <t>Pam Irving</t>
  </si>
  <si>
    <t>soup lunch</t>
  </si>
  <si>
    <t>British  Gas</t>
  </si>
  <si>
    <t>Myles Hogg</t>
  </si>
  <si>
    <t>Mark Sears</t>
  </si>
  <si>
    <t>Mark Sear</t>
  </si>
  <si>
    <t>Trustee Soup Lunch</t>
  </si>
  <si>
    <t>2nd Willaston Brownies</t>
  </si>
  <si>
    <t>Willaston Residents Soc</t>
  </si>
  <si>
    <t>Steve Walling Masonary</t>
  </si>
  <si>
    <t>new stone step</t>
  </si>
  <si>
    <t>Katharine Thomas</t>
  </si>
  <si>
    <t>Insurance premium</t>
  </si>
  <si>
    <t>colin Jerrett</t>
  </si>
  <si>
    <t>Julie Simms/Whalley</t>
  </si>
  <si>
    <t>security deposit 25</t>
  </si>
  <si>
    <t>M.Bradley/Caroline Morgan</t>
  </si>
  <si>
    <t>Security deposit 23</t>
  </si>
  <si>
    <t>security deposit  24</t>
  </si>
  <si>
    <t>security deposit 26</t>
  </si>
  <si>
    <t>BACS</t>
  </si>
  <si>
    <t>Jackie Jenkins</t>
  </si>
  <si>
    <t>Christ Church Magazine</t>
  </si>
  <si>
    <t>Publicity</t>
  </si>
  <si>
    <t>Publicity/PR</t>
  </si>
  <si>
    <t>Repay security dep  24</t>
  </si>
  <si>
    <t>W/back unpresented chq</t>
  </si>
  <si>
    <t>contra</t>
  </si>
  <si>
    <t>security deposit 27</t>
  </si>
  <si>
    <t>Beth &amp; Wynn Jones</t>
  </si>
  <si>
    <t>Sophie Marron</t>
  </si>
  <si>
    <t>Hadlow Green Singers</t>
  </si>
  <si>
    <t>security deposit 28</t>
  </si>
  <si>
    <t>electricty</t>
  </si>
  <si>
    <t>refund sec dep 23</t>
  </si>
  <si>
    <t>repay Security dep 16</t>
  </si>
  <si>
    <t>Kate Parrish</t>
  </si>
  <si>
    <t xml:space="preserve">Royal British Legion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</si>
  <si>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</si>
  <si>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</si>
  <si>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</si>
  <si>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</si>
  <si>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</si>
  <si>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</si>
  <si>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</si>
  <si>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</si>
  <si>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</si>
  <si>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</si>
  <si>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</si>
  <si>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Net</t>
  </si>
  <si>
    <t>Subtotal column</t>
  </si>
  <si>
    <t>Day</t>
  </si>
  <si>
    <t>Month</t>
  </si>
  <si>
    <t>Description</t>
  </si>
  <si>
    <t>Tag</t>
  </si>
  <si>
    <t>Security Deposit</t>
  </si>
  <si>
    <t>Security deposit</t>
  </si>
  <si>
    <t>Subtotal</t>
  </si>
  <si>
    <t>Receipt</t>
  </si>
  <si>
    <t>Starting balance</t>
  </si>
  <si>
    <t>Security Deposit refunds</t>
  </si>
  <si>
    <t>Secure Trust deposit account</t>
  </si>
  <si>
    <t>Deposit subtotal</t>
  </si>
  <si>
    <t>Net operating cash flow</t>
  </si>
  <si>
    <t>Co-op current account balance</t>
  </si>
  <si>
    <t>Secure Deposit subtotal</t>
  </si>
  <si>
    <t>Check current account</t>
  </si>
  <si>
    <t>Check secure trust bank deposit</t>
  </si>
  <si>
    <t>Lettings casual</t>
  </si>
  <si>
    <t>Lettings regular</t>
  </si>
  <si>
    <t>Soup lunches</t>
  </si>
  <si>
    <t>Maintenance project</t>
  </si>
  <si>
    <t>APR</t>
  </si>
  <si>
    <t>Reallocation of expenses</t>
  </si>
  <si>
    <t>Repair &amp; maintenance</t>
  </si>
  <si>
    <t>Internal rejuvenation project</t>
  </si>
  <si>
    <t>JUN</t>
  </si>
  <si>
    <t>JUL</t>
  </si>
  <si>
    <t>Outstanding total</t>
  </si>
  <si>
    <t>online</t>
  </si>
  <si>
    <t>ingredients for soup</t>
  </si>
  <si>
    <t xml:space="preserve">Internal Rejuvenation Project </t>
  </si>
  <si>
    <t xml:space="preserve">Co-Op Bank Current Account              </t>
  </si>
  <si>
    <t>refund sec dep 28</t>
  </si>
  <si>
    <t>Willaston WI Bridge</t>
  </si>
  <si>
    <t>Sarah Beck Yoga</t>
  </si>
  <si>
    <t>Invoice 1813</t>
  </si>
  <si>
    <t>Invoice 1809</t>
  </si>
  <si>
    <t>Invoice 1817</t>
  </si>
  <si>
    <t>Procleanse Ltd</t>
  </si>
  <si>
    <t>*3</t>
  </si>
  <si>
    <t>500125</t>
  </si>
  <si>
    <t>500126</t>
  </si>
  <si>
    <t>500169</t>
  </si>
  <si>
    <t>500167</t>
  </si>
  <si>
    <t>Less: Outstanding cheques</t>
  </si>
  <si>
    <t>WI Bridge hire fee</t>
  </si>
  <si>
    <t>Willastonhey WI hire fee</t>
  </si>
  <si>
    <t>Balance per cash book and accounts</t>
  </si>
  <si>
    <t>Balance per bank statement at 31st December 2017- current acount</t>
  </si>
  <si>
    <t>500170</t>
  </si>
  <si>
    <t>Less: Receipts in respect of 2018 lodged at bank in 2017</t>
  </si>
  <si>
    <t>Cash Book from 1st January 2018  to 31st December 2018</t>
  </si>
  <si>
    <t>Hadlow Green Ladies</t>
  </si>
  <si>
    <t>Invoice 1812</t>
  </si>
  <si>
    <t>Invoice 1810</t>
  </si>
  <si>
    <t>Friends of Hadlow Rd St</t>
  </si>
  <si>
    <t>Invoice 1816</t>
  </si>
  <si>
    <t>Invoice1814</t>
  </si>
  <si>
    <t>Oct-Dec 2017</t>
  </si>
  <si>
    <t>January Inv 3627</t>
  </si>
  <si>
    <t>Invoice 1818</t>
  </si>
  <si>
    <t>Invoice 1801</t>
  </si>
  <si>
    <t>committee room</t>
  </si>
  <si>
    <t>Christmas use of Hall</t>
  </si>
  <si>
    <t>ad hoc hire</t>
  </si>
  <si>
    <t>1st Willaston Guides</t>
  </si>
  <si>
    <t>2nd Willaston Rainbows</t>
  </si>
  <si>
    <t>Invoice 1804</t>
  </si>
  <si>
    <t>Invoice 1805</t>
  </si>
  <si>
    <t>Invoice 1806</t>
  </si>
  <si>
    <t>Mersey Morris Dancers</t>
  </si>
  <si>
    <t>Myles Hogg Councillor</t>
  </si>
  <si>
    <t>Invoice1815</t>
  </si>
  <si>
    <t>Dec 2017 invoice</t>
  </si>
  <si>
    <t>January  Inv</t>
  </si>
  <si>
    <t>Invoice 1808</t>
  </si>
  <si>
    <t>Kathryn Williams</t>
  </si>
  <si>
    <t>c</t>
  </si>
  <si>
    <t>Lucy Harding</t>
  </si>
  <si>
    <t>Joan Butcher</t>
  </si>
  <si>
    <t>Wedding (£627.50)</t>
  </si>
  <si>
    <t>V Prescott</t>
  </si>
  <si>
    <t>children's party 12/5</t>
  </si>
  <si>
    <t>R Thomas</t>
  </si>
  <si>
    <t>Julie Whalley</t>
  </si>
  <si>
    <t>Laura Critchley</t>
  </si>
  <si>
    <t>Security deposit 3</t>
  </si>
  <si>
    <t>*1</t>
  </si>
  <si>
    <t>Bank Reconciliation January 2018</t>
  </si>
  <si>
    <t>Balance Per statement</t>
  </si>
  <si>
    <t>Add uncashed lodgements</t>
  </si>
  <si>
    <t>Less Unpresented cheques</t>
  </si>
  <si>
    <t>*4</t>
  </si>
  <si>
    <t>Agreed</t>
  </si>
  <si>
    <t>1st Birthday party 4/3</t>
  </si>
  <si>
    <t>Security deposit 4</t>
  </si>
  <si>
    <t>PTA fundraiser 17/3</t>
  </si>
  <si>
    <t>MK Corran</t>
  </si>
  <si>
    <t>Security deposit 2</t>
  </si>
  <si>
    <t>Security deposit 1</t>
  </si>
  <si>
    <t>Hen tea party</t>
  </si>
  <si>
    <t>Willaston Guides</t>
  </si>
  <si>
    <t>Committee room 11/1</t>
  </si>
  <si>
    <t>Katie/Mark Jones</t>
  </si>
  <si>
    <t>Birthday 24/2</t>
  </si>
  <si>
    <t>ST Mills</t>
  </si>
  <si>
    <t>Emily Grindrod</t>
  </si>
  <si>
    <t>Security deposit 8</t>
  </si>
  <si>
    <t>Birthday 17/3</t>
  </si>
  <si>
    <t>M Delmotte</t>
  </si>
  <si>
    <t>Jane Barnes</t>
  </si>
  <si>
    <t>*5</t>
  </si>
  <si>
    <t>Water Plus</t>
  </si>
  <si>
    <t>less lodgements recorded next month</t>
  </si>
  <si>
    <t>MK &amp;CA Jones</t>
  </si>
  <si>
    <t>*jan</t>
  </si>
  <si>
    <t>*feb</t>
  </si>
  <si>
    <t>Sophie Pritchard</t>
  </si>
  <si>
    <t>Sophie Godwin/Pritchard</t>
  </si>
  <si>
    <t>HSS fan Heaters</t>
  </si>
  <si>
    <t>1st Willaston Rainbows</t>
  </si>
  <si>
    <t>Graham Humphreys</t>
  </si>
  <si>
    <t>Piano repair new castors</t>
  </si>
  <si>
    <t>Wedding Licence</t>
  </si>
  <si>
    <t>CWACC</t>
  </si>
  <si>
    <t xml:space="preserve">Donations </t>
  </si>
  <si>
    <t>Office/Sundry Expenses</t>
  </si>
  <si>
    <t>Donations</t>
  </si>
  <si>
    <t>Office/Sundry expenses</t>
  </si>
  <si>
    <t>Boiler service and tests</t>
  </si>
  <si>
    <t>Hour rebate on booking</t>
  </si>
  <si>
    <t>Methodist church</t>
  </si>
  <si>
    <t>Security deposit 9</t>
  </si>
  <si>
    <t>Geraldine Howe</t>
  </si>
  <si>
    <t>Children's Party 3/3/18</t>
  </si>
  <si>
    <t>Elles Port cons</t>
  </si>
  <si>
    <t>Rachal Thomas</t>
  </si>
  <si>
    <t>Childrens' party 6/5</t>
  </si>
  <si>
    <t>Children's party 2/6</t>
  </si>
  <si>
    <t>M.Townley</t>
  </si>
  <si>
    <t xml:space="preserve">engagement party </t>
  </si>
  <si>
    <t>Security deposit 10</t>
  </si>
  <si>
    <t>BECG</t>
  </si>
  <si>
    <t>Ashley Bates</t>
  </si>
  <si>
    <t>part 29/4</t>
  </si>
  <si>
    <t>Harding Wedding</t>
  </si>
  <si>
    <t>Bank Reconciliation February 2018</t>
  </si>
  <si>
    <t>Sophie Goodwin</t>
  </si>
  <si>
    <t>Kate Jones</t>
  </si>
  <si>
    <t>repay Security dep 5</t>
  </si>
  <si>
    <t>New radiator</t>
  </si>
  <si>
    <t>Liz Young</t>
  </si>
  <si>
    <t>Carson Print Hire Forms</t>
  </si>
  <si>
    <t>February Invoice</t>
  </si>
  <si>
    <t>March Invoice</t>
  </si>
  <si>
    <t>Add uncashed lodgements:</t>
  </si>
  <si>
    <t>Bank Reconciliation March 2018</t>
  </si>
  <si>
    <t>Balance per cash Book</t>
  </si>
  <si>
    <t>Andrew Lea Property</t>
  </si>
  <si>
    <t>British gas</t>
  </si>
  <si>
    <t>Claire Baird</t>
  </si>
  <si>
    <t>Party 21/4</t>
  </si>
  <si>
    <t>British Yoga</t>
  </si>
  <si>
    <t>Christchurch</t>
  </si>
  <si>
    <t>J&amp;E Lester</t>
  </si>
  <si>
    <t>Martin Townley</t>
  </si>
  <si>
    <t>repay Security dep 1</t>
  </si>
  <si>
    <t>repay Security dep 10</t>
  </si>
  <si>
    <t>Michael Corran</t>
  </si>
  <si>
    <t>repay Security dep 8</t>
  </si>
  <si>
    <t>repay Security dep 4</t>
  </si>
  <si>
    <t>*march</t>
  </si>
  <si>
    <t>repay Security dep 6</t>
  </si>
  <si>
    <t>repay Security dep 9</t>
  </si>
  <si>
    <t>repay Security dep 3</t>
  </si>
  <si>
    <t>Delmotte</t>
  </si>
  <si>
    <t>outstainding deposits carried forward</t>
  </si>
  <si>
    <t>Venues 4 Hire</t>
  </si>
  <si>
    <t>Jan-Mar 18</t>
  </si>
  <si>
    <t>South Wirral Rotary</t>
  </si>
  <si>
    <t>Mrs ST Mills</t>
  </si>
  <si>
    <t>Jessica McCouglin</t>
  </si>
  <si>
    <t>offset v Procleanse extra cleaning</t>
  </si>
  <si>
    <t>Critchley</t>
  </si>
  <si>
    <t>Howe</t>
  </si>
  <si>
    <t>Mrs J Henry</t>
  </si>
  <si>
    <t>Security deposit 14</t>
  </si>
  <si>
    <t>J McLoughlin</t>
  </si>
  <si>
    <t>Wedding 25-7/5</t>
  </si>
  <si>
    <t>Security deposit 15</t>
  </si>
  <si>
    <t>Emma Philips</t>
  </si>
  <si>
    <t>Jill Lessels</t>
  </si>
  <si>
    <t>Children's Party 20/5</t>
  </si>
  <si>
    <t>70th birthday party 12/5</t>
  </si>
  <si>
    <t>2nd Term</t>
  </si>
  <si>
    <t>Bank Reconciliation April 2018</t>
  </si>
  <si>
    <t>Wedding 27.5.18</t>
  </si>
  <si>
    <t>Refund</t>
  </si>
  <si>
    <t>Jenny Lyons</t>
  </si>
  <si>
    <t xml:space="preserve"> May</t>
  </si>
  <si>
    <t>Claire Woods</t>
  </si>
  <si>
    <t>party 12/5</t>
  </si>
  <si>
    <t>Alison Pepper</t>
  </si>
  <si>
    <t>Refund Part Wedding party</t>
  </si>
  <si>
    <t>Add'l May Payment</t>
  </si>
  <si>
    <t>Crown Cabinets</t>
  </si>
  <si>
    <t>Deposit cupboards</t>
  </si>
  <si>
    <t>Balance Cupboards</t>
  </si>
  <si>
    <t>Information Commission</t>
  </si>
  <si>
    <t>Repay deposit 11</t>
  </si>
  <si>
    <t>Bank Reconciliation May 2018</t>
  </si>
  <si>
    <t>refund Hardy</t>
  </si>
  <si>
    <t>CP Refurbishments</t>
  </si>
  <si>
    <t>New cupboards</t>
  </si>
  <si>
    <t>J McCloughlin</t>
  </si>
  <si>
    <t>Repay deposit 15</t>
  </si>
  <si>
    <t>party 21/7</t>
  </si>
  <si>
    <t xml:space="preserve"> June</t>
  </si>
  <si>
    <t>Rachel Thomas</t>
  </si>
  <si>
    <t>BACS)</t>
  </si>
  <si>
    <t>refund sec dep 25/2017</t>
  </si>
  <si>
    <t>Refund sec dep 26/2017</t>
  </si>
  <si>
    <t>MD Bullock</t>
  </si>
  <si>
    <t>party 9/6</t>
  </si>
  <si>
    <t>repay deposit 17</t>
  </si>
  <si>
    <t xml:space="preserve">Ashley Bates </t>
  </si>
  <si>
    <t>repay deposit 18</t>
  </si>
  <si>
    <t>repay deposit 14</t>
  </si>
  <si>
    <t>Emma philips</t>
  </si>
  <si>
    <t>Repay deposit 16</t>
  </si>
  <si>
    <t>repay deposit 13</t>
  </si>
  <si>
    <t>2nd installment</t>
  </si>
  <si>
    <t>Isabel Amores-Fuster</t>
  </si>
  <si>
    <t>Birthday party 15/7</t>
  </si>
  <si>
    <t>CC Sutcliffe</t>
  </si>
  <si>
    <t>Mr P. Rayson</t>
  </si>
  <si>
    <t>Committee room 3/7</t>
  </si>
  <si>
    <t>Saturday surgeries</t>
  </si>
  <si>
    <t>Graduation party 28/7</t>
  </si>
  <si>
    <t>PRS/PPL Ltd</t>
  </si>
  <si>
    <t>2nd instalment</t>
  </si>
  <si>
    <t>K Greenfield</t>
  </si>
  <si>
    <t>sale of horse</t>
  </si>
  <si>
    <t>sale of cupboards</t>
  </si>
  <si>
    <t>Caroline de Jonge</t>
  </si>
  <si>
    <t>Lisa Hallam</t>
  </si>
  <si>
    <t>Bank Reconciliation June 2018</t>
  </si>
  <si>
    <t>5th birthday 17/8</t>
  </si>
  <si>
    <t>Horticultural Society</t>
  </si>
  <si>
    <t>April-June 18</t>
  </si>
  <si>
    <t>April</t>
  </si>
  <si>
    <t>March</t>
  </si>
  <si>
    <t>February</t>
  </si>
  <si>
    <t>June</t>
  </si>
  <si>
    <t>Loyds Garage</t>
  </si>
  <si>
    <t>website advert</t>
  </si>
  <si>
    <t>Add</t>
  </si>
  <si>
    <t>uncashed  cheque</t>
  </si>
  <si>
    <t>Chubb Fire</t>
  </si>
  <si>
    <t>Extinguisher tests</t>
  </si>
  <si>
    <t>Baird</t>
  </si>
  <si>
    <t>*JULY</t>
  </si>
  <si>
    <t>repay deposit 19</t>
  </si>
  <si>
    <t>Security deposit 24</t>
  </si>
  <si>
    <t>Chris Turton</t>
  </si>
  <si>
    <t>Security deposit 25</t>
  </si>
  <si>
    <t>repay deposit 25</t>
  </si>
  <si>
    <t>cancelled</t>
  </si>
  <si>
    <t>cancelled from 2017</t>
  </si>
  <si>
    <t>Wedding 31.8.18</t>
  </si>
  <si>
    <t>repay deposit 20</t>
  </si>
  <si>
    <t>Bank Reconciliation July 2018</t>
  </si>
  <si>
    <t>uncash lodgement</t>
  </si>
  <si>
    <t>Supporters of the Phil</t>
  </si>
  <si>
    <t>Security deposit 26</t>
  </si>
  <si>
    <t>Lisa Haslam</t>
  </si>
  <si>
    <t>Vegan Bakery</t>
  </si>
  <si>
    <t>Hire 1st Sept</t>
  </si>
  <si>
    <t>Security deposit 22 part***</t>
  </si>
  <si>
    <t>Security deposit 22 part ***</t>
  </si>
  <si>
    <t>Emma Blackmore</t>
  </si>
  <si>
    <t>Hire of tables/chairs</t>
  </si>
  <si>
    <t>Mr &amp; Mrs W Jones</t>
  </si>
  <si>
    <t>repay deposit 27/2017</t>
  </si>
  <si>
    <t>repay Security Dep 12</t>
  </si>
  <si>
    <t>Wedding 6-8/9/19 Dep 21</t>
  </si>
  <si>
    <t>Goodwill Gesture</t>
  </si>
  <si>
    <t>JF Heating</t>
  </si>
  <si>
    <t>Toilet Leak</t>
  </si>
  <si>
    <t>BACS £142</t>
  </si>
  <si>
    <t>repay deposit 23</t>
  </si>
  <si>
    <t>BACS )</t>
  </si>
  <si>
    <t>Peninsula Garden Services</t>
  </si>
  <si>
    <t>Garden ivy removal</t>
  </si>
  <si>
    <t>Caroline de Jong</t>
  </si>
  <si>
    <t>repay deposit 21</t>
  </si>
  <si>
    <t>Security deposit 27</t>
  </si>
  <si>
    <t>Sarah and Ian Shannon</t>
  </si>
  <si>
    <t>WW1 event</t>
  </si>
  <si>
    <t>James Harbridge</t>
  </si>
  <si>
    <t>1st b'day 9/9</t>
  </si>
  <si>
    <t>Felicity Crease</t>
  </si>
  <si>
    <t>Publicity items</t>
  </si>
  <si>
    <t>Bank Reconciliation August 2018</t>
  </si>
  <si>
    <t xml:space="preserve">repay Security dep 22 </t>
  </si>
  <si>
    <t>Jillian Dawn</t>
  </si>
  <si>
    <t>less</t>
  </si>
  <si>
    <t>Jillian Dawn shown in Sept</t>
  </si>
  <si>
    <t>0/s</t>
  </si>
  <si>
    <t xml:space="preserve">repay Security dep 26 </t>
  </si>
  <si>
    <t>Keith Greenfield</t>
  </si>
  <si>
    <t>Poppy Appeal</t>
  </si>
  <si>
    <t>Leaving presents wine</t>
  </si>
  <si>
    <t>Wreath</t>
  </si>
  <si>
    <t>3rd payment</t>
  </si>
  <si>
    <t>Andew lea</t>
  </si>
  <si>
    <t>Ivy removal</t>
  </si>
  <si>
    <t>M Orme (Vegan)</t>
  </si>
  <si>
    <t xml:space="preserve">repay Security dep 27 </t>
  </si>
  <si>
    <t>Security deposit 28</t>
  </si>
  <si>
    <t>Security deposit 29</t>
  </si>
  <si>
    <t>Amy Topping</t>
  </si>
  <si>
    <t>Security deposit 30</t>
  </si>
  <si>
    <t>Christening 25.11.18</t>
  </si>
  <si>
    <t>MC &amp; MA Jones</t>
  </si>
  <si>
    <t>repay Sec Dep 29</t>
  </si>
  <si>
    <t>Whalley/Simms</t>
  </si>
  <si>
    <t>Willaston Primary School</t>
  </si>
  <si>
    <t>Security deposit 31</t>
  </si>
  <si>
    <t>Security deposit 32</t>
  </si>
  <si>
    <t>Security deposit 33</t>
  </si>
  <si>
    <t>12.1.2019</t>
  </si>
  <si>
    <t>28.10.2018</t>
  </si>
  <si>
    <t>16.11.2018</t>
  </si>
  <si>
    <t>Wirral NHS foundation</t>
  </si>
  <si>
    <t>Phil Maltas</t>
  </si>
  <si>
    <t>Wedding 16/12</t>
  </si>
  <si>
    <t>Bank Reconciliation September 2018</t>
  </si>
  <si>
    <t>*6</t>
  </si>
  <si>
    <t>Philp Maltas</t>
  </si>
  <si>
    <t>September</t>
  </si>
  <si>
    <t>write back</t>
  </si>
  <si>
    <t>July to Sept</t>
  </si>
  <si>
    <t>Hajnal Huszti</t>
  </si>
  <si>
    <t>23.3.19</t>
  </si>
  <si>
    <t>Security deposit 34</t>
  </si>
  <si>
    <t>JP Lee</t>
  </si>
  <si>
    <t>Janet Porter</t>
  </si>
  <si>
    <t>14.11.18</t>
  </si>
  <si>
    <t>Willaston Residents</t>
  </si>
  <si>
    <t>Security deposit 35</t>
  </si>
  <si>
    <t>Katharine Moat</t>
  </si>
  <si>
    <t>Wedding artwork</t>
  </si>
  <si>
    <t>All in Design &amp; Advertising</t>
  </si>
  <si>
    <t>repay sec dep 35</t>
  </si>
  <si>
    <t>Ria Barrington</t>
  </si>
  <si>
    <t>Security deposit 36</t>
  </si>
  <si>
    <t>£93.50 to come</t>
  </si>
  <si>
    <t xml:space="preserve">Jenny Devine </t>
  </si>
  <si>
    <t>Katherine Moate</t>
  </si>
  <si>
    <t>repay sec dep 32</t>
  </si>
  <si>
    <t>Sarah Patchitt</t>
  </si>
  <si>
    <t>baby classes various</t>
  </si>
  <si>
    <t>Jenny Devine</t>
  </si>
  <si>
    <t>Kathryn Parrish</t>
  </si>
  <si>
    <t>Security deposit 37</t>
  </si>
  <si>
    <t>Security deposit 38</t>
  </si>
  <si>
    <t>repay sec dep 38</t>
  </si>
  <si>
    <t>October</t>
  </si>
  <si>
    <t>Laura Cottrel-Jones</t>
  </si>
  <si>
    <t>3rd November</t>
  </si>
  <si>
    <t>Bank Reconciliation October 2018</t>
  </si>
  <si>
    <t>L Cotrell-Jones</t>
  </si>
  <si>
    <t>Ian Barwood</t>
  </si>
  <si>
    <t>Cheshire West Chester</t>
  </si>
  <si>
    <t>Wasp Control</t>
  </si>
  <si>
    <t>Helen Wynn Guides</t>
  </si>
  <si>
    <t>David Mayhew</t>
  </si>
  <si>
    <t>DR A Fletcher</t>
  </si>
  <si>
    <t>Security deposit 39</t>
  </si>
  <si>
    <t>Lydiate Prop AGM</t>
  </si>
  <si>
    <t>Elicia Hinds</t>
  </si>
  <si>
    <t>repay sec dep 33</t>
  </si>
  <si>
    <t>Willaston WI soup lunch</t>
  </si>
  <si>
    <t>Sensory Patch</t>
  </si>
  <si>
    <t>Party 12/1/19</t>
  </si>
  <si>
    <t>Security deposit 40</t>
  </si>
  <si>
    <t>Elspeth &amp; John Harris</t>
  </si>
  <si>
    <t>Paul &amp; Sian Williams</t>
  </si>
  <si>
    <t>Security deposit 41</t>
  </si>
  <si>
    <t>Party 8/12/18</t>
  </si>
  <si>
    <t>Bank Reconciliation November 2018</t>
  </si>
  <si>
    <t>cheque cancelled</t>
  </si>
  <si>
    <t>repay sec dep 39</t>
  </si>
  <si>
    <t>repay sec dep 30</t>
  </si>
  <si>
    <t>one payment £60.81</t>
  </si>
  <si>
    <t>repay sec dep 36</t>
  </si>
  <si>
    <t>234 o/s</t>
  </si>
  <si>
    <t>*DEC</t>
  </si>
  <si>
    <t>Procleanse</t>
  </si>
  <si>
    <t>Deposits</t>
  </si>
  <si>
    <t>Sale of Filing Cabinet</t>
  </si>
  <si>
    <t>November</t>
  </si>
  <si>
    <t>repay sec dep 41</t>
  </si>
  <si>
    <t>Paul Williams</t>
  </si>
  <si>
    <t>British Wheel of Yoga</t>
  </si>
  <si>
    <t>Poppy Mckenzie</t>
  </si>
  <si>
    <t>Security deposit 42</t>
  </si>
  <si>
    <t>Insurance  to 31/12/2019</t>
  </si>
  <si>
    <t>repay sec dep 37</t>
  </si>
  <si>
    <t>repay sec dep 24</t>
  </si>
  <si>
    <t>Willaston Phil Supporters</t>
  </si>
  <si>
    <t>Adele Plant</t>
  </si>
  <si>
    <t>Moran</t>
  </si>
  <si>
    <t>Willaston WI bridge</t>
  </si>
  <si>
    <t>Invoice 1909</t>
  </si>
  <si>
    <t>Invoice 1917</t>
  </si>
  <si>
    <t>Invoice 1901</t>
  </si>
  <si>
    <t>Ruth Moran</t>
  </si>
  <si>
    <t>Invoice 1913</t>
  </si>
  <si>
    <t>Oct-Dec 2018</t>
  </si>
  <si>
    <t>repay sec dep 1</t>
  </si>
  <si>
    <t>C Braceland</t>
  </si>
  <si>
    <t>Invoice 1914</t>
  </si>
  <si>
    <t xml:space="preserve"> Starting balance </t>
  </si>
  <si>
    <t xml:space="preserve"> Receipt </t>
  </si>
  <si>
    <t xml:space="preserve"> Subtotal </t>
  </si>
  <si>
    <t xml:space="preserve"> Payment </t>
  </si>
  <si>
    <t xml:space="preserve"> Net </t>
  </si>
  <si>
    <t xml:space="preserve"> -  </t>
  </si>
  <si>
    <t xml:space="preserve"> * </t>
  </si>
  <si>
    <t>7.05 Credit offset</t>
  </si>
  <si>
    <t xml:space="preserve"> ) </t>
  </si>
  <si>
    <t>Bank Reconciliation December 2018</t>
  </si>
  <si>
    <t>willaston Supporters</t>
  </si>
  <si>
    <t>Bacs</t>
  </si>
  <si>
    <t>Poppy Parry</t>
  </si>
  <si>
    <t>repay sec dep 42</t>
  </si>
  <si>
    <t>Duplicate</t>
  </si>
  <si>
    <t>BANK RECONCILIATION</t>
  </si>
  <si>
    <t>Outstanding lodgements</t>
  </si>
  <si>
    <t>Willaston supporters</t>
  </si>
  <si>
    <t>December</t>
  </si>
  <si>
    <t>Outstanding Deposits</t>
  </si>
  <si>
    <t>Total Deposits outstanding at year end</t>
  </si>
  <si>
    <t xml:space="preserve">  -   </t>
  </si>
  <si>
    <t>3rd Feb</t>
  </si>
  <si>
    <t>Hadlow Road Station</t>
  </si>
  <si>
    <t>Invoice 1916</t>
  </si>
  <si>
    <t>Invoice 1910</t>
  </si>
  <si>
    <t>Invoice 1912</t>
  </si>
  <si>
    <t>Invoice 1908</t>
  </si>
  <si>
    <t>Pam irving</t>
  </si>
  <si>
    <t>Invoice 1918</t>
  </si>
  <si>
    <t>Morris Men</t>
  </si>
  <si>
    <t>D Maydew Lydiate man</t>
  </si>
  <si>
    <t>repay sec dep 2</t>
  </si>
  <si>
    <t>Invoice 1922</t>
  </si>
  <si>
    <t>Invoice 1911</t>
  </si>
  <si>
    <t>party 5/1</t>
  </si>
  <si>
    <t>banked as part of £134 deposit</t>
  </si>
  <si>
    <t>Elspeth Harris</t>
  </si>
  <si>
    <t>repaid Jan 2019</t>
  </si>
  <si>
    <t>repay sec dep 31/2018</t>
  </si>
  <si>
    <t>repay sec dep 40/2018</t>
  </si>
  <si>
    <t>Carols on the Green</t>
  </si>
  <si>
    <t>invoice 1904</t>
  </si>
  <si>
    <t>Bank Reconciliation January 2019</t>
  </si>
  <si>
    <t>replaced with BACS transfer to Matthew Parry</t>
  </si>
  <si>
    <t>Emma Phillips</t>
  </si>
  <si>
    <t>C Davenport</t>
  </si>
  <si>
    <t>* Jan</t>
  </si>
  <si>
    <t>WI Carols on the green?</t>
  </si>
  <si>
    <t>South Wirral Lace - part</t>
  </si>
  <si>
    <t>Invoice 1915</t>
  </si>
  <si>
    <t>Willaston Community Centre</t>
  </si>
  <si>
    <t>Invoice 1907</t>
  </si>
  <si>
    <t>Invoice 1921</t>
  </si>
  <si>
    <t>JF Heating Plumbers</t>
  </si>
  <si>
    <t>Central heating repairs</t>
  </si>
  <si>
    <t>Willaston Rainbows 2</t>
  </si>
  <si>
    <t>Willaston Rainbows 1</t>
  </si>
  <si>
    <t>Invoice 1905</t>
  </si>
  <si>
    <t>Invoice 1906</t>
  </si>
  <si>
    <t>Chontell Braceland</t>
  </si>
  <si>
    <t>repay sec dep 4</t>
  </si>
  <si>
    <t>repay sec dep 3</t>
  </si>
  <si>
    <t>Claire Woods (Lindsay)</t>
  </si>
  <si>
    <t>17th Feb</t>
  </si>
  <si>
    <t>Sarah Rowe</t>
  </si>
  <si>
    <t>Tim Howes</t>
  </si>
  <si>
    <t>Hannah Greener</t>
  </si>
  <si>
    <t>Security deposit 7</t>
  </si>
  <si>
    <t>May 2020</t>
  </si>
  <si>
    <t>26.5.19</t>
  </si>
  <si>
    <t>PJ Maltas</t>
  </si>
  <si>
    <t>Booking Sec expenses</t>
  </si>
  <si>
    <t>A Simms</t>
  </si>
  <si>
    <t>£71.60 next month</t>
  </si>
  <si>
    <t>JF  Heating</t>
  </si>
  <si>
    <t>*2 jan</t>
  </si>
  <si>
    <t>* jan</t>
  </si>
  <si>
    <t>February lodgements</t>
  </si>
  <si>
    <t>20.4.19</t>
  </si>
  <si>
    <t>10.2.19</t>
  </si>
  <si>
    <t>2x Feb</t>
  </si>
  <si>
    <t>AAH Willaston mews</t>
  </si>
  <si>
    <t>Gospel Hall</t>
  </si>
  <si>
    <t>Jean lee</t>
  </si>
  <si>
    <t>9.3.19</t>
  </si>
  <si>
    <t>24.4/30.4</t>
  </si>
  <si>
    <t>2.3.19</t>
  </si>
  <si>
    <t>repay sec dep 5</t>
  </si>
  <si>
    <t>Jean Lee</t>
  </si>
  <si>
    <t>January</t>
  </si>
  <si>
    <t>Service</t>
  </si>
  <si>
    <t xml:space="preserve">*2 </t>
  </si>
  <si>
    <t>reverse March 2019</t>
  </si>
  <si>
    <t>Reverse 2018 entries</t>
  </si>
  <si>
    <t>Fish ' n Chip supper</t>
  </si>
  <si>
    <t>just shown as casual lettings</t>
  </si>
  <si>
    <t>Note: these were booking deposits</t>
  </si>
  <si>
    <t>partial refund</t>
  </si>
  <si>
    <t>not security deposits and should be</t>
  </si>
  <si>
    <t>Jan Porter</t>
  </si>
  <si>
    <t>Vikki Spambo</t>
  </si>
  <si>
    <t>repay sec dep 9</t>
  </si>
  <si>
    <t>Visit to repair CCTV</t>
  </si>
  <si>
    <t>Cont to Defibrillator</t>
  </si>
  <si>
    <t>repaid March 2019</t>
  </si>
  <si>
    <t>repay sec dep 28/2018</t>
  </si>
  <si>
    <t>Marc Orme (Vegan Bakery)</t>
  </si>
  <si>
    <t>British Legion</t>
  </si>
  <si>
    <t>5.5.19</t>
  </si>
  <si>
    <t>18.8.19 wedding</t>
  </si>
  <si>
    <t>repay sec dep 6</t>
  </si>
  <si>
    <t>Cheshire West and Chester</t>
  </si>
  <si>
    <t>Defribialltor case</t>
  </si>
  <si>
    <t>Cleandirect</t>
  </si>
  <si>
    <t>carpet and chairs</t>
  </si>
  <si>
    <t>notice board</t>
  </si>
  <si>
    <t>O/S</t>
  </si>
  <si>
    <t>paid as  £210.37</t>
  </si>
  <si>
    <t>Bank Reconciliation March 2019</t>
  </si>
  <si>
    <t>Bank Reconciliation February 2019</t>
  </si>
  <si>
    <t>Feb-March</t>
  </si>
  <si>
    <t>Victoria Spambo</t>
  </si>
  <si>
    <t>repay sec dep 10</t>
  </si>
  <si>
    <t>Thomas Salisbury</t>
  </si>
  <si>
    <t>K Williams</t>
  </si>
  <si>
    <t>Emily Maknay</t>
  </si>
  <si>
    <t>25.5.19</t>
  </si>
  <si>
    <t>Residents society</t>
  </si>
  <si>
    <t>27.4.19</t>
  </si>
  <si>
    <t>Sarah Millington Cox</t>
  </si>
  <si>
    <t>Oven deep clean</t>
  </si>
  <si>
    <t>B&amp;M Waste disposal</t>
  </si>
  <si>
    <t>) single payment</t>
  </si>
  <si>
    <t>Jennifer Simms</t>
  </si>
  <si>
    <t>BB Wirral - Helen Heath</t>
  </si>
  <si>
    <t>19.4.19</t>
  </si>
  <si>
    <t>Cancelled cheque</t>
  </si>
  <si>
    <t>repay sec dep 14</t>
  </si>
  <si>
    <t>repay sec dep 13</t>
  </si>
  <si>
    <t>Nat Childbirth Trust</t>
  </si>
  <si>
    <t>BWY - North west</t>
  </si>
  <si>
    <t>April Term</t>
  </si>
  <si>
    <t>banked together £318.50</t>
  </si>
  <si>
    <t>Gavin Clafton</t>
  </si>
  <si>
    <t>repay sec dep 15</t>
  </si>
  <si>
    <t xml:space="preserve">Ledsham Electrical </t>
  </si>
  <si>
    <t>5 year review</t>
  </si>
  <si>
    <t>Extractor fans</t>
  </si>
  <si>
    <t>Gayton Cleaning</t>
  </si>
  <si>
    <t>add uncredited lodgements</t>
  </si>
  <si>
    <t>1st Rainbows</t>
  </si>
  <si>
    <t>2nd Rainbows</t>
  </si>
  <si>
    <t>bacs</t>
  </si>
  <si>
    <t>Emma Harris</t>
  </si>
  <si>
    <t>K Freeman Tennis club</t>
  </si>
  <si>
    <t>banked 1/5 £91</t>
  </si>
  <si>
    <t>Polling Day 2.5</t>
  </si>
  <si>
    <t>Venues for Hire</t>
  </si>
  <si>
    <t>Annual licence fee</t>
  </si>
  <si>
    <t>Information Comissioner</t>
  </si>
  <si>
    <t xml:space="preserve"> Refund</t>
  </si>
  <si>
    <t>repay sec dep 12</t>
  </si>
  <si>
    <t>500776</t>
  </si>
  <si>
    <t>500775</t>
  </si>
  <si>
    <t>repay sec dep 7</t>
  </si>
  <si>
    <t>Fire check</t>
  </si>
  <si>
    <t>Polling Day 23.5</t>
  </si>
  <si>
    <t>repay sec dep 16</t>
  </si>
  <si>
    <t>500777</t>
  </si>
  <si>
    <t>D &amp; M Delmotte</t>
  </si>
  <si>
    <t>Sth Wirral Rotary</t>
  </si>
  <si>
    <t>second term</t>
  </si>
  <si>
    <t>RL &amp; SK Hodgkinson</t>
  </si>
  <si>
    <t>500778</t>
  </si>
  <si>
    <t>Mrs Griffiths (Macknay)</t>
  </si>
  <si>
    <t>Cancelled</t>
  </si>
  <si>
    <t>Wedding</t>
  </si>
  <si>
    <t>* may</t>
  </si>
  <si>
    <t>* may2</t>
  </si>
  <si>
    <t>refund</t>
  </si>
  <si>
    <t>GCS</t>
  </si>
  <si>
    <t>Wirral Lace</t>
  </si>
  <si>
    <t>Sensory Patch Learn Ltd</t>
  </si>
  <si>
    <t>*june</t>
  </si>
  <si>
    <t>*3 june</t>
  </si>
  <si>
    <t>call out charge CCTV</t>
  </si>
  <si>
    <t>Shippen</t>
  </si>
  <si>
    <t>Huszti</t>
  </si>
  <si>
    <t>Security deposit 21</t>
  </si>
  <si>
    <t xml:space="preserve">B&amp;M Waste disposal </t>
  </si>
  <si>
    <t>D W Manning</t>
  </si>
  <si>
    <t>AM &amp; Myles Hogg</t>
  </si>
  <si>
    <t>Ruth  Griffiths</t>
  </si>
  <si>
    <t>2nd Instalment</t>
  </si>
  <si>
    <t>20th July</t>
  </si>
  <si>
    <t>Hodkinson</t>
  </si>
  <si>
    <t>various materials</t>
  </si>
  <si>
    <t>repay sec dep 8</t>
  </si>
  <si>
    <t>500779</t>
  </si>
  <si>
    <t>New Dishwasher</t>
  </si>
  <si>
    <t>Master Grill</t>
  </si>
  <si>
    <t>500780</t>
  </si>
  <si>
    <t>500781</t>
  </si>
  <si>
    <t>repay sec dep 21</t>
  </si>
  <si>
    <t>500782</t>
  </si>
  <si>
    <t>K Warrington</t>
  </si>
  <si>
    <t>repay sec dep 18</t>
  </si>
  <si>
    <t>Apr- July</t>
  </si>
  <si>
    <t>Bank Reconciliation June 2019</t>
  </si>
  <si>
    <t>Bank Reconciliation May 2019</t>
  </si>
  <si>
    <t>Bank Reconciliation April 2019</t>
  </si>
  <si>
    <t>*jul</t>
  </si>
  <si>
    <t>500774</t>
  </si>
  <si>
    <t>Hadlow green Singers</t>
  </si>
  <si>
    <t>McMahon</t>
  </si>
  <si>
    <t>Security deposit 22</t>
  </si>
  <si>
    <t>Bank Reconciliation July 2019</t>
  </si>
  <si>
    <t>repay sec dep 11</t>
  </si>
  <si>
    <t>Mrs Adam</t>
  </si>
  <si>
    <t>Mrs Griffiths</t>
  </si>
  <si>
    <t>J Butcher</t>
  </si>
  <si>
    <t>1/9/19</t>
  </si>
  <si>
    <t>16/8/19</t>
  </si>
  <si>
    <t>19/9/19</t>
  </si>
  <si>
    <t>20/8/19</t>
  </si>
  <si>
    <t>7/7/19</t>
  </si>
  <si>
    <t>9/7/19</t>
  </si>
  <si>
    <t>21/12/19</t>
  </si>
  <si>
    <t>23/8/19</t>
  </si>
  <si>
    <t>S Flynn</t>
  </si>
  <si>
    <t>T Salisbury</t>
  </si>
  <si>
    <t>repay sec dep 23</t>
  </si>
  <si>
    <t>repay sec dep 17</t>
  </si>
  <si>
    <t>Emma Harvey</t>
  </si>
  <si>
    <t>P&amp;J Jones</t>
  </si>
  <si>
    <t>NHS willaston</t>
  </si>
  <si>
    <t>Deposit</t>
  </si>
  <si>
    <t>Willaston 1st Rainbow</t>
  </si>
  <si>
    <t>Final Term</t>
  </si>
  <si>
    <t>Willaston 2nd Rainbow</t>
  </si>
  <si>
    <t>repay sec dep 19</t>
  </si>
  <si>
    <t>Sarah Millington-Cox</t>
  </si>
  <si>
    <t>500136</t>
  </si>
  <si>
    <t>500137</t>
  </si>
  <si>
    <t>500138</t>
  </si>
  <si>
    <t>500783</t>
  </si>
  <si>
    <t>Bank Reconciliation August 2019</t>
  </si>
  <si>
    <t>500784</t>
  </si>
  <si>
    <t>500786</t>
  </si>
  <si>
    <t xml:space="preserve">                      </t>
  </si>
  <si>
    <t>ST Mills- Hadlow Green Choir</t>
  </si>
  <si>
    <t>Decorating</t>
  </si>
  <si>
    <t>J Porter</t>
  </si>
  <si>
    <t>Philip Morris</t>
  </si>
  <si>
    <t>Hanshall</t>
  </si>
  <si>
    <t>V Fisher</t>
  </si>
  <si>
    <t>Richards</t>
  </si>
  <si>
    <t>Val Brizell</t>
  </si>
  <si>
    <t>NCT Alsop</t>
  </si>
  <si>
    <t>Jill Lessels Harvets Tea</t>
  </si>
  <si>
    <t>repay sec dep 26</t>
  </si>
  <si>
    <t>*Sept</t>
  </si>
  <si>
    <t>Autumn Term</t>
  </si>
  <si>
    <t>P Darlington</t>
  </si>
  <si>
    <t>HHL Property Inv</t>
  </si>
  <si>
    <t>H Cottrell</t>
  </si>
  <si>
    <t>KL Thomas</t>
  </si>
  <si>
    <t>Bank Reconciliation September 2019</t>
  </si>
  <si>
    <t>Gayton CS</t>
  </si>
  <si>
    <t>National Childbirth</t>
  </si>
  <si>
    <t>Lessels</t>
  </si>
  <si>
    <t>HHL Property</t>
  </si>
  <si>
    <t>Darlington</t>
  </si>
  <si>
    <t>Thomas</t>
  </si>
  <si>
    <t>Parrish</t>
  </si>
  <si>
    <t>Sept</t>
  </si>
  <si>
    <t>Helen Jones</t>
  </si>
  <si>
    <t>repay sec dep 25</t>
  </si>
  <si>
    <t>repay sec dep 20</t>
  </si>
  <si>
    <t>Emma Thorne/Richards</t>
  </si>
  <si>
    <t>repay sec dep 27</t>
  </si>
  <si>
    <t>*oct</t>
  </si>
  <si>
    <t>J Abraham</t>
  </si>
  <si>
    <t>P &amp; J Jones</t>
  </si>
  <si>
    <t>The Vegan Cakery</t>
  </si>
  <si>
    <t>Liz Young (Bookings)</t>
  </si>
  <si>
    <t>500791</t>
  </si>
  <si>
    <t>James Fletcher</t>
  </si>
  <si>
    <t>500792</t>
  </si>
  <si>
    <t>500793</t>
  </si>
  <si>
    <t>repay sec dep 31</t>
  </si>
  <si>
    <t>repay sec dep 22</t>
  </si>
  <si>
    <t>Ruth Griffiths</t>
  </si>
  <si>
    <t>W&amp;K Bell</t>
  </si>
  <si>
    <t>Bank Reconciliation October 2019</t>
  </si>
  <si>
    <t>Balance per cash book</t>
  </si>
  <si>
    <t>Innerd M</t>
  </si>
  <si>
    <t>H Cottrrell</t>
  </si>
  <si>
    <t>R &amp; J Brown</t>
  </si>
  <si>
    <t>500790</t>
  </si>
  <si>
    <t>500789</t>
  </si>
  <si>
    <t>500794</t>
  </si>
  <si>
    <t>Balance Per statement 31.10.19</t>
  </si>
  <si>
    <t>500763</t>
  </si>
  <si>
    <t>500139</t>
  </si>
  <si>
    <t>500140</t>
  </si>
  <si>
    <t>500141</t>
  </si>
  <si>
    <t>500142</t>
  </si>
  <si>
    <t>Sheena chalmers</t>
  </si>
  <si>
    <t>British Legion Poppy</t>
  </si>
  <si>
    <t>First aid kit</t>
  </si>
  <si>
    <t>*Nov</t>
  </si>
  <si>
    <t>Heather Green</t>
  </si>
  <si>
    <t>500795</t>
  </si>
  <si>
    <t>500796</t>
  </si>
  <si>
    <t>Rebecca Brown</t>
  </si>
  <si>
    <t>repay sec dep 40</t>
  </si>
  <si>
    <t>Memorial Hall event</t>
  </si>
  <si>
    <t xml:space="preserve">Christchurch </t>
  </si>
  <si>
    <t>Dr Crasta</t>
  </si>
  <si>
    <t>Greenfield - cash takings</t>
  </si>
  <si>
    <t>500797</t>
  </si>
  <si>
    <t>repay sec dep 28</t>
  </si>
  <si>
    <t>Hannah Cottrell</t>
  </si>
  <si>
    <t>MS Beck</t>
  </si>
  <si>
    <t>Zahidi Adam</t>
  </si>
  <si>
    <t>D Francey</t>
  </si>
  <si>
    <t>700798</t>
  </si>
  <si>
    <t>700799</t>
  </si>
  <si>
    <t>Kate Bell</t>
  </si>
  <si>
    <t xml:space="preserve">repay sec dep 33 </t>
  </si>
  <si>
    <t>repay sec dep 34</t>
  </si>
  <si>
    <t>Security deposit 43</t>
  </si>
  <si>
    <t>Ins Premium</t>
  </si>
  <si>
    <t>Bank Reconciliation November 2019</t>
  </si>
  <si>
    <t>500798</t>
  </si>
  <si>
    <t>500799</t>
  </si>
  <si>
    <t>*Dec</t>
  </si>
  <si>
    <t>Lydiate Management</t>
  </si>
  <si>
    <t>Balance Per statement 30.11.19</t>
  </si>
  <si>
    <t>deposit new boiler</t>
  </si>
  <si>
    <t>balance new boiler</t>
  </si>
  <si>
    <t>Chesire West</t>
  </si>
  <si>
    <t>General Election</t>
  </si>
  <si>
    <t>The BWOFY LTD</t>
  </si>
  <si>
    <t>Ben Maddock</t>
  </si>
  <si>
    <t>500807</t>
  </si>
  <si>
    <t xml:space="preserve">repay sec dep 42 </t>
  </si>
  <si>
    <t>*dec</t>
  </si>
  <si>
    <t>L Barwood</t>
  </si>
  <si>
    <t>Balance per accounts and agreed to cash Book above</t>
  </si>
  <si>
    <t>Gayton Cleaning Services</t>
  </si>
  <si>
    <t>Security Deposits Outstanding at 31 Deccember 2019</t>
  </si>
  <si>
    <t>-</t>
  </si>
  <si>
    <t>Balance outstanding per accounts</t>
  </si>
  <si>
    <t>Val Brizzell</t>
  </si>
  <si>
    <t>V Brizzell</t>
  </si>
  <si>
    <t>R King</t>
  </si>
  <si>
    <t>Rotary Club - Jeffreys</t>
  </si>
  <si>
    <t>Security deposit 44</t>
  </si>
  <si>
    <t>Security deposit 45</t>
  </si>
  <si>
    <t>Wirral Sub Aqua</t>
  </si>
  <si>
    <t>Security deposit 46</t>
  </si>
  <si>
    <t>paid 2/1/2020</t>
  </si>
  <si>
    <t>Unpresented chequesoutstanding payments:</t>
  </si>
  <si>
    <t>Dundas</t>
  </si>
  <si>
    <t>RECONCILIATION 2019 BROUGHT FORWARD</t>
  </si>
  <si>
    <t>C Dundas</t>
  </si>
  <si>
    <t xml:space="preserve">Security Deposit </t>
  </si>
  <si>
    <t>WI Bridge</t>
  </si>
  <si>
    <t>repay sec dep 43/2019</t>
  </si>
  <si>
    <t>paid 3/1/2020</t>
  </si>
  <si>
    <t>S. Bradbury</t>
  </si>
  <si>
    <t>Security Deposit 1</t>
  </si>
  <si>
    <t>J.McCann</t>
  </si>
  <si>
    <t>Security Deposit 3</t>
  </si>
  <si>
    <t>G Howe</t>
  </si>
  <si>
    <t>December 2019</t>
  </si>
  <si>
    <t>2 x new keys</t>
  </si>
  <si>
    <t>Vicki McCann</t>
  </si>
  <si>
    <t>K Thomas</t>
  </si>
  <si>
    <t>repay sec dep 29/2019</t>
  </si>
  <si>
    <t>Friends of Hadlow Stn</t>
  </si>
  <si>
    <t>Dodgson Funeral</t>
  </si>
  <si>
    <t>Security Deposit 5</t>
  </si>
  <si>
    <t>Baker</t>
  </si>
  <si>
    <t>Porter</t>
  </si>
  <si>
    <t>JF Heating Plumbing</t>
  </si>
  <si>
    <t>radiator leak</t>
  </si>
  <si>
    <t>repay sec dep 30/2019</t>
  </si>
  <si>
    <t>Bank Reconciliation January 2020</t>
  </si>
  <si>
    <t>*Jan 2020</t>
  </si>
  <si>
    <t>S Bradbury</t>
  </si>
  <si>
    <t>Monday Community Club</t>
  </si>
  <si>
    <t>748.40 banked</t>
  </si>
  <si>
    <t>Karate Club</t>
  </si>
  <si>
    <t>repay sec dep 39/2019</t>
  </si>
  <si>
    <t>Dance Group(Maltas)</t>
  </si>
  <si>
    <t>Dodgson Funeral - bal</t>
  </si>
  <si>
    <t>Barlow</t>
  </si>
  <si>
    <t>repay sec dep 46/2019</t>
  </si>
  <si>
    <t>500808</t>
  </si>
  <si>
    <t>Greenwood Sub Aqua</t>
  </si>
  <si>
    <t>500804</t>
  </si>
  <si>
    <t>500801</t>
  </si>
  <si>
    <t>Javeen Crasta</t>
  </si>
  <si>
    <t>Davinder Lotay</t>
  </si>
  <si>
    <t>Security Deposit 8</t>
  </si>
  <si>
    <t>Jean Hockridge</t>
  </si>
  <si>
    <t>Bequest to the Hall</t>
  </si>
  <si>
    <t>repay sec dep 44/2019</t>
  </si>
  <si>
    <t>Co-op 95 Day Deposit</t>
  </si>
  <si>
    <t xml:space="preserve"> Deposit 95 Day Account</t>
  </si>
  <si>
    <t>NEW DEPOSIT ACCOUNT OPENED</t>
  </si>
  <si>
    <t xml:space="preserve">Co-Op Bank Current 95 Day Deposit  Account           </t>
  </si>
  <si>
    <t>JF Heating &amp; Plumbing</t>
  </si>
  <si>
    <t>Boiler Service x 2</t>
  </si>
  <si>
    <t>M Ledsham</t>
  </si>
  <si>
    <t>Electrics</t>
  </si>
  <si>
    <t>SR Lees</t>
  </si>
  <si>
    <t>Security Deposit 11</t>
  </si>
  <si>
    <t>RK Challinor</t>
  </si>
  <si>
    <t>*Feb</t>
  </si>
  <si>
    <t>H&amp;K Morgan</t>
  </si>
  <si>
    <t>Security Deposit 12</t>
  </si>
  <si>
    <t>ST Mills Hadlow Green</t>
  </si>
  <si>
    <t>Transfer to 95 day dep a/c</t>
  </si>
  <si>
    <t>Bank Reconciliation February 2020</t>
  </si>
  <si>
    <t>500806</t>
  </si>
  <si>
    <t>500809</t>
  </si>
  <si>
    <t>Hadlow Ladies Group</t>
  </si>
  <si>
    <t>replaced by 500801</t>
  </si>
  <si>
    <t>water plus</t>
  </si>
  <si>
    <t>Julie Barlow</t>
  </si>
  <si>
    <t>Security Deposit 13</t>
  </si>
  <si>
    <t>DI Jones - Ruth Griffiths</t>
  </si>
  <si>
    <t>*mar</t>
  </si>
  <si>
    <t>Venues4Hire</t>
  </si>
  <si>
    <t>500811 cancelled</t>
  </si>
  <si>
    <t>feb</t>
  </si>
  <si>
    <t xml:space="preserve">February </t>
  </si>
  <si>
    <t>March estimate</t>
  </si>
  <si>
    <t>Loo Rolls</t>
  </si>
  <si>
    <t>Claire Williams</t>
  </si>
  <si>
    <t>Norma Duckett Hadlow Ladies</t>
  </si>
  <si>
    <t>Willaston PTA</t>
  </si>
  <si>
    <t>*March</t>
  </si>
  <si>
    <t>26th March</t>
  </si>
  <si>
    <t>water off/heating down</t>
  </si>
  <si>
    <t>April cancelled</t>
  </si>
  <si>
    <t>*April</t>
  </si>
  <si>
    <t>Dundas &amp;Co</t>
  </si>
  <si>
    <t>floor repairs</t>
  </si>
  <si>
    <t>repay sec dep 35/19</t>
  </si>
  <si>
    <t>Wedding deposit</t>
  </si>
  <si>
    <t>Party postponed hold deposit</t>
  </si>
  <si>
    <t>No charge cleaning cancelled</t>
  </si>
  <si>
    <t>Refund cancelled Covid19</t>
  </si>
  <si>
    <t>Cancelled cheques</t>
  </si>
  <si>
    <t>Louise Barwood</t>
  </si>
  <si>
    <t>may not cash as given as a donation</t>
  </si>
  <si>
    <t>had a problem accessing hall</t>
  </si>
  <si>
    <t>comiitee room 8th Feb</t>
  </si>
  <si>
    <t>Party postponed hold hire fee</t>
  </si>
  <si>
    <t>recredited</t>
  </si>
  <si>
    <t>repay sec dep 41/19</t>
  </si>
  <si>
    <t xml:space="preserve"> BWOFY Ltd H Littler</t>
  </si>
  <si>
    <t>June party hold for the moment</t>
  </si>
  <si>
    <t>Claire  Baird (Willaston PTA)</t>
  </si>
  <si>
    <t>refund of hire fee</t>
  </si>
  <si>
    <t>one payment Q500816</t>
  </si>
  <si>
    <t>dep\recorded as letting 2019</t>
  </si>
  <si>
    <t>500816</t>
  </si>
  <si>
    <t>May cancelled</t>
  </si>
  <si>
    <t>Information Commissioner</t>
  </si>
  <si>
    <t>McAdam Roofing</t>
  </si>
  <si>
    <t>Roof repairs</t>
  </si>
  <si>
    <t>*May</t>
  </si>
  <si>
    <t>*2 May</t>
  </si>
  <si>
    <t>Co-op 95 Day Deposit interest</t>
  </si>
  <si>
    <t>Bank Reconciliation May 2020</t>
  </si>
  <si>
    <t>Claire Williams hire fee</t>
  </si>
  <si>
    <t>B&amp;W suspended</t>
  </si>
  <si>
    <t>Bank Reconciliation June 2020</t>
  </si>
  <si>
    <t>June cancelled</t>
  </si>
  <si>
    <t>Grants</t>
  </si>
  <si>
    <t>Toilet repairs/turn back water</t>
  </si>
  <si>
    <t>July cancelled</t>
  </si>
  <si>
    <t>*July</t>
  </si>
  <si>
    <t>Bank Reconciliation July 2020</t>
  </si>
  <si>
    <t>Bank Reconciliation August 2020</t>
  </si>
  <si>
    <t>Bank Reconciliation September 2020</t>
  </si>
  <si>
    <t>Bank Reconciliation October 2020</t>
  </si>
  <si>
    <t xml:space="preserve">Balance Per statement </t>
  </si>
  <si>
    <t>Bank Reconciliation November 2020</t>
  </si>
  <si>
    <t>Balance Per statement 30.11.20</t>
  </si>
  <si>
    <t>BANK RECONCILIATION AS AT 31 DECEMBER 2020</t>
  </si>
  <si>
    <t>Security Deposits Outstanding at 31 Deccember 2020</t>
  </si>
  <si>
    <t>Write off fee not received</t>
  </si>
  <si>
    <t>*july</t>
  </si>
  <si>
    <t>part credit note April-June 75%</t>
  </si>
  <si>
    <t>D Dundas</t>
  </si>
  <si>
    <t>Gate Repair</t>
  </si>
  <si>
    <t>Secure Trust</t>
  </si>
  <si>
    <t>repay deposit</t>
  </si>
  <si>
    <t>Transfer to Deposit account</t>
  </si>
  <si>
    <t>Secure Trust Bank</t>
  </si>
  <si>
    <t>Tsfr to co-op deposit account</t>
  </si>
  <si>
    <t>August restart</t>
  </si>
  <si>
    <t>S Weeden</t>
  </si>
  <si>
    <t>Security Deposit 16</t>
  </si>
  <si>
    <t>credit £87.54 part</t>
  </si>
  <si>
    <t>Sanitiser unit</t>
  </si>
  <si>
    <t>various</t>
  </si>
  <si>
    <t>Gift/audit</t>
  </si>
  <si>
    <t>7 weeks</t>
  </si>
  <si>
    <t>Security Deposit 45/2019 additional</t>
  </si>
  <si>
    <t>BWOFY/BTWOY H Littler</t>
  </si>
  <si>
    <t>Family &amp; Friends(AA)</t>
  </si>
  <si>
    <t>K Morgan</t>
  </si>
  <si>
    <t>500814</t>
  </si>
  <si>
    <t>Credit Note</t>
  </si>
  <si>
    <t>PPL/PRS</t>
  </si>
  <si>
    <t>*sept</t>
  </si>
  <si>
    <t>PPL</t>
  </si>
  <si>
    <t>BG Electric credit note</t>
  </si>
  <si>
    <t>rev credit note</t>
  </si>
  <si>
    <t>carry forward credit note</t>
  </si>
  <si>
    <t>New Keys</t>
  </si>
  <si>
    <t>Knit and Natter</t>
  </si>
  <si>
    <t>Friends and Family</t>
  </si>
  <si>
    <t>Chris Hampshire Residents</t>
  </si>
  <si>
    <t>Chubb Fire Safety</t>
  </si>
  <si>
    <t xml:space="preserve"> Sept</t>
  </si>
  <si>
    <t>Emily Baker</t>
  </si>
  <si>
    <t>reverse credit note</t>
  </si>
  <si>
    <t>Doreen Francey (Loorolls)</t>
  </si>
  <si>
    <t xml:space="preserve">Family &amp;Friends </t>
  </si>
  <si>
    <t>*nov</t>
  </si>
  <si>
    <t>British Gas electric credit note c/f</t>
  </si>
  <si>
    <t>c Dec</t>
  </si>
  <si>
    <t>c Nov</t>
  </si>
  <si>
    <t>Friends &amp; Family</t>
  </si>
  <si>
    <t>Dec 2019</t>
  </si>
  <si>
    <t>Jan 2020</t>
  </si>
  <si>
    <t>Mar 2020</t>
  </si>
  <si>
    <t>Aug 2020</t>
  </si>
  <si>
    <t>Budget 2021</t>
  </si>
  <si>
    <t>Worst case</t>
  </si>
  <si>
    <t>Better case</t>
  </si>
  <si>
    <t>Accrual to be billed March 2021</t>
  </si>
  <si>
    <t>Willaston Hall Budget 2021</t>
  </si>
  <si>
    <t>Income</t>
  </si>
  <si>
    <t>Worst Case</t>
  </si>
  <si>
    <t>Better Case</t>
  </si>
  <si>
    <t>Regular Income</t>
  </si>
  <si>
    <t>Term 1</t>
  </si>
  <si>
    <t>Total Regular Income</t>
  </si>
  <si>
    <t>Casual lettings</t>
  </si>
  <si>
    <t>Friends &amp;Family</t>
  </si>
  <si>
    <t>30% of 2020 budget £6600</t>
  </si>
  <si>
    <t>Rounding</t>
  </si>
  <si>
    <t>Assume a couple of soup lunches in Winter</t>
  </si>
  <si>
    <t>Repairs &amp; Renewals</t>
  </si>
  <si>
    <t>assume £5000/£4000 in worst/best cases</t>
  </si>
  <si>
    <t>Gas - based on 2020 usage</t>
  </si>
  <si>
    <t>Electricity - based on 2020 usage</t>
  </si>
  <si>
    <t>Insurance - 3 months free in 2021</t>
  </si>
  <si>
    <t>Water - based on new DD - o/s debt repaid</t>
  </si>
  <si>
    <t>Telephone - £45/month</t>
  </si>
  <si>
    <t>Rentokil £90/Month</t>
  </si>
  <si>
    <t>B&amp;M £46/month</t>
  </si>
  <si>
    <t>other cleaning sundries</t>
  </si>
  <si>
    <t>PPRL performomg licence</t>
  </si>
  <si>
    <t>Civil wedding  licence</t>
  </si>
  <si>
    <t>Information Comission</t>
  </si>
  <si>
    <t>Officers expenses - estimate</t>
  </si>
  <si>
    <t>Publicity/PR - eatimate</t>
  </si>
  <si>
    <t>Wedding - August 2020</t>
  </si>
  <si>
    <t>Q 500673 Feb 2019</t>
  </si>
  <si>
    <t>Q 500790 Oct 2019</t>
  </si>
  <si>
    <t>Q 500795 Nov 2019</t>
  </si>
  <si>
    <t>Q 500799 Nov 2019</t>
  </si>
  <si>
    <t>w/b Dec 2020</t>
  </si>
  <si>
    <t>outstandong at y/e</t>
  </si>
  <si>
    <t>Agreed to cash book above</t>
  </si>
  <si>
    <t>w/b out of date cheques not presented</t>
  </si>
  <si>
    <t>paid 1st Jan 2021</t>
  </si>
  <si>
    <t>carry forward to offset bill in January</t>
  </si>
  <si>
    <t>carry forward to extended cover to March 2021</t>
  </si>
  <si>
    <t>S Weeden Wedding</t>
  </si>
  <si>
    <t>10% of other regular income</t>
  </si>
  <si>
    <t>Majority of 2020 regular income carried over into 2021</t>
  </si>
  <si>
    <t>GCS  £52.5 x 45 weeks</t>
  </si>
  <si>
    <t>Country Market (75%)</t>
  </si>
  <si>
    <t>Karate (75%)</t>
  </si>
  <si>
    <t>Cheshire West &amp;Chester</t>
  </si>
  <si>
    <t>Bank Reconciliation January 2021</t>
  </si>
  <si>
    <t>British Gas credit note c/f</t>
  </si>
  <si>
    <t>Bank Reconciliation February 2021</t>
  </si>
  <si>
    <t>reverse 2020 entry</t>
  </si>
  <si>
    <t>1/4/21 to 31/3/22</t>
  </si>
  <si>
    <t>2021 Accrual 9 months</t>
  </si>
  <si>
    <t xml:space="preserve">          1. The Trustees hold the freehold of the building which has an insured value of £1,107,927.93 (March 2021).</t>
  </si>
  <si>
    <t>Transfer to Donation Fund</t>
  </si>
  <si>
    <t xml:space="preserve">Accumulated General Fund at 31 December </t>
  </si>
  <si>
    <t>Accumulated Donation Fund at 31 December</t>
  </si>
  <si>
    <t>Accumulated Donation Fund brought forward</t>
  </si>
  <si>
    <t>Venues4Hire Ltd</t>
  </si>
  <si>
    <t>Annual fee</t>
  </si>
  <si>
    <t>Bank Reconciliation March 2021</t>
  </si>
  <si>
    <t>Zurich accrual</t>
  </si>
  <si>
    <t>Boiler service/gas certs</t>
  </si>
  <si>
    <t>March (final bill)</t>
  </si>
  <si>
    <t>Bank Reconciliation April 2021</t>
  </si>
  <si>
    <t>Bank Reconciliation May 2021</t>
  </si>
  <si>
    <t>Bank Reconciliation June 2021</t>
  </si>
  <si>
    <t>Bank Reconciliation July 2021</t>
  </si>
  <si>
    <t>Bank Reconciliation August 2021</t>
  </si>
  <si>
    <t>Bank Reconciliation September 2021</t>
  </si>
  <si>
    <t>BANK RECONCILIATION AS AT 31 DECEMBER 2021</t>
  </si>
  <si>
    <t>Security Deposits Outstanding at 31 Deccember 2021</t>
  </si>
  <si>
    <t>c March</t>
  </si>
  <si>
    <t>c Jan</t>
  </si>
  <si>
    <t>Inside Out</t>
  </si>
  <si>
    <t>part March</t>
  </si>
  <si>
    <t>Inside out</t>
  </si>
  <si>
    <t xml:space="preserve">Water </t>
  </si>
  <si>
    <t>S Hough Sashay Dance</t>
  </si>
  <si>
    <t>3rd July</t>
  </si>
  <si>
    <t>AJ Norman</t>
  </si>
  <si>
    <t>Gardening</t>
  </si>
  <si>
    <t>Summer Term</t>
  </si>
  <si>
    <t>pipework repairs</t>
  </si>
  <si>
    <t>*apr</t>
  </si>
  <si>
    <t>Election May 6th</t>
  </si>
  <si>
    <t>Total Funds at Period End</t>
  </si>
  <si>
    <t>Information Commisioner</t>
  </si>
  <si>
    <t>Annual Fee</t>
  </si>
  <si>
    <t>Water plus</t>
  </si>
  <si>
    <t>inside out</t>
  </si>
  <si>
    <t>Iwaniuk wedding 20/8</t>
  </si>
  <si>
    <t>Fire maintenance</t>
  </si>
  <si>
    <t>Jacksons</t>
  </si>
  <si>
    <t>Fire safet review</t>
  </si>
  <si>
    <t>June est</t>
  </si>
  <si>
    <t>Kennedy</t>
  </si>
  <si>
    <t>Wake</t>
  </si>
  <si>
    <t>Miss Baxter 21/8</t>
  </si>
  <si>
    <t>Mrs Ramos</t>
  </si>
  <si>
    <t>Fire Alarm</t>
  </si>
  <si>
    <t>KG Bell Limited</t>
  </si>
  <si>
    <t>Committee Window</t>
  </si>
  <si>
    <t>PPL/PRS ;imited</t>
  </si>
  <si>
    <t>Baxter</t>
  </si>
  <si>
    <t>JJ Pest Control</t>
  </si>
  <si>
    <t>Bees nest</t>
  </si>
  <si>
    <t>* june</t>
  </si>
  <si>
    <t xml:space="preserve">21/8 Engagement party </t>
  </si>
  <si>
    <t>Security Deposit 4</t>
  </si>
  <si>
    <t>Val Fisher garden</t>
  </si>
  <si>
    <t>garden</t>
  </si>
  <si>
    <t>sundry cleaning items</t>
  </si>
  <si>
    <t>new brush head</t>
  </si>
  <si>
    <t>Catherine Jones</t>
  </si>
  <si>
    <t>CWAC Premises</t>
  </si>
  <si>
    <t>Audit expenses</t>
  </si>
  <si>
    <t>Alanon</t>
  </si>
  <si>
    <t>Mrs B Kennedy</t>
  </si>
  <si>
    <t>500817</t>
  </si>
  <si>
    <t>Morris Men Frost</t>
  </si>
  <si>
    <t>Kerry Walmsley</t>
  </si>
  <si>
    <t>4/9 Party  1/3 deposit of £160</t>
  </si>
  <si>
    <t>Mrs L Ramos</t>
  </si>
  <si>
    <t>SJ Jones</t>
  </si>
  <si>
    <t>Lydiate Man</t>
  </si>
  <si>
    <t>paid in</t>
  </si>
  <si>
    <t>Security Deposit 6</t>
  </si>
  <si>
    <t>DW Holland</t>
  </si>
  <si>
    <t>waste/basin repair</t>
  </si>
  <si>
    <t>Walmsley</t>
  </si>
  <si>
    <t>*2 Aug</t>
  </si>
  <si>
    <t>* Aug</t>
  </si>
  <si>
    <t>*Aug</t>
  </si>
  <si>
    <t>party 6/8</t>
  </si>
  <si>
    <t>Pippa Benjamin</t>
  </si>
  <si>
    <t>Piotr Iwaniuk</t>
  </si>
  <si>
    <t>Wedding 20/8</t>
  </si>
  <si>
    <t>Garden</t>
  </si>
  <si>
    <t>Hive Syatem</t>
  </si>
  <si>
    <t>Party 4/9</t>
  </si>
  <si>
    <t>Radiators</t>
  </si>
  <si>
    <t>Elizabeth Carter wedding dep</t>
  </si>
  <si>
    <t>Wedding deposit 7/22</t>
  </si>
  <si>
    <t>JW Tweed</t>
  </si>
  <si>
    <t>repay sec dep Aug 2020</t>
  </si>
  <si>
    <t>repaid aug 2021</t>
  </si>
  <si>
    <t>MB Delmotte</t>
  </si>
  <si>
    <t>V Fisher Knit and Natter</t>
  </si>
  <si>
    <t>Belt barriers</t>
  </si>
  <si>
    <t>Bark for garden</t>
  </si>
  <si>
    <t>Postage etc</t>
  </si>
  <si>
    <t>Nolan</t>
  </si>
  <si>
    <t>Lesley Kerrigan</t>
  </si>
  <si>
    <t>Melanie Edwards</t>
  </si>
  <si>
    <t>India Taylor</t>
  </si>
  <si>
    <t>Sarah Hadfield/Bryan</t>
  </si>
  <si>
    <t>Matthew Virr</t>
  </si>
  <si>
    <t>4/12 party</t>
  </si>
  <si>
    <t>Sarah Jones</t>
  </si>
  <si>
    <t>Daisy B Craft</t>
  </si>
  <si>
    <t>Security Deposit 14</t>
  </si>
  <si>
    <t xml:space="preserve"> 4 Sundays</t>
  </si>
  <si>
    <t>HJ Green 14/11</t>
  </si>
  <si>
    <t>*bank credit</t>
  </si>
  <si>
    <t>Mrs Hamied</t>
  </si>
  <si>
    <t>party 31/10</t>
  </si>
  <si>
    <t>cheque 500144</t>
  </si>
  <si>
    <t>HJ Green</t>
  </si>
  <si>
    <t>Jessica Earnden</t>
  </si>
  <si>
    <t>*Oct</t>
  </si>
  <si>
    <t>party 11/12</t>
  </si>
  <si>
    <t>Sian Williams</t>
  </si>
  <si>
    <t>Security Deposit 17</t>
  </si>
  <si>
    <t>Credit May</t>
  </si>
  <si>
    <t>Credit June</t>
  </si>
  <si>
    <t>Credit July</t>
  </si>
  <si>
    <t>Credit Aug</t>
  </si>
  <si>
    <t>Credit Seot</t>
  </si>
  <si>
    <t>c1</t>
  </si>
  <si>
    <t>c2</t>
  </si>
  <si>
    <t>c3</t>
  </si>
  <si>
    <t>c4</t>
  </si>
  <si>
    <t>c5</t>
  </si>
  <si>
    <t>Security Deposit 18</t>
  </si>
  <si>
    <t>KE McMahon/Kate Wilson</t>
  </si>
  <si>
    <t>Faye Williamson</t>
  </si>
  <si>
    <t>party 23/110</t>
  </si>
  <si>
    <t>Security Deposit 19</t>
  </si>
  <si>
    <t>c1 Oct</t>
  </si>
  <si>
    <t>c2 Oct</t>
  </si>
  <si>
    <t>c3 Oct</t>
  </si>
  <si>
    <t>c4 Oct</t>
  </si>
  <si>
    <t>c5 Oct</t>
  </si>
  <si>
    <t>In credit no charge</t>
  </si>
  <si>
    <t>party 18/12</t>
  </si>
  <si>
    <t xml:space="preserve">additional payment </t>
  </si>
  <si>
    <t>Mastergrill D Francey</t>
  </si>
  <si>
    <t>Dishwasher repair</t>
  </si>
  <si>
    <t>WI - Walking Netball</t>
  </si>
  <si>
    <t>S&amp;F Robinson</t>
  </si>
  <si>
    <t>party 5/2/22</t>
  </si>
  <si>
    <t>Welsh Water</t>
  </si>
  <si>
    <t>Sewage</t>
  </si>
  <si>
    <t>repay sec dep 09</t>
  </si>
  <si>
    <t>Bank Reconciliation October 2021</t>
  </si>
  <si>
    <t>FL Williamson</t>
  </si>
  <si>
    <t>Sarah Howard</t>
  </si>
  <si>
    <t>Nov bookings</t>
  </si>
  <si>
    <t>KG Bell</t>
  </si>
  <si>
    <t>new window storage area</t>
  </si>
  <si>
    <t>Norchem Healthcare</t>
  </si>
  <si>
    <t>Defibrillator kit</t>
  </si>
  <si>
    <t>M Delmotte cash</t>
  </si>
  <si>
    <t>initial deposit</t>
  </si>
  <si>
    <t>november bookings</t>
  </si>
  <si>
    <t>party 30/10</t>
  </si>
  <si>
    <t>October hire singers</t>
  </si>
  <si>
    <t>used against Sept 2021 Booking</t>
  </si>
  <si>
    <t>repay sec March 2020</t>
  </si>
  <si>
    <t>covered by security deposit 2020</t>
  </si>
  <si>
    <t>lunch 27/10</t>
  </si>
  <si>
    <t>Pam Irving (cheque)</t>
  </si>
  <si>
    <t>Willaston Hall Budget 2022</t>
  </si>
  <si>
    <t xml:space="preserve">Country Market </t>
  </si>
  <si>
    <t xml:space="preserve">Karate </t>
  </si>
  <si>
    <t>WI</t>
  </si>
  <si>
    <t>WI Walking netball</t>
  </si>
  <si>
    <t>Interest on deposit</t>
  </si>
  <si>
    <t xml:space="preserve">Inside out </t>
  </si>
  <si>
    <t>PPRL performimg licence</t>
  </si>
  <si>
    <t>Publicity/PR - estimate</t>
  </si>
  <si>
    <t>(inc Booking sec £500 honorarium)</t>
  </si>
  <si>
    <t>Hadlow Ladies MB Delmotte</t>
  </si>
  <si>
    <t xml:space="preserve">Budget </t>
  </si>
  <si>
    <t>2022</t>
  </si>
  <si>
    <t>Based on average of last 5 years income</t>
  </si>
  <si>
    <t>assume £6000 as average of past 5 years</t>
  </si>
  <si>
    <t>Gas - based on last 3 years usage</t>
  </si>
  <si>
    <t>Electricity - based on last 3 years usage</t>
  </si>
  <si>
    <t>Insurance - stable small increase on previous</t>
  </si>
  <si>
    <t>Water - Waste Welsh £500/water plus £500</t>
  </si>
  <si>
    <t>B&amp;M £40/month</t>
  </si>
  <si>
    <t>Kirkpatrick</t>
  </si>
  <si>
    <t>Security Deposit 20</t>
  </si>
  <si>
    <t>Neeta Sherlock</t>
  </si>
  <si>
    <t>* part of £270 banking Nov</t>
  </si>
  <si>
    <t>Ellen Lloyd</t>
  </si>
  <si>
    <t>Security Deposit 21</t>
  </si>
  <si>
    <t>Security Deposit 22</t>
  </si>
  <si>
    <t>Wedding 8/22</t>
  </si>
  <si>
    <t>cheque</t>
  </si>
  <si>
    <t>Security Deposit 23</t>
  </si>
  <si>
    <t>(200+60 Irving+10 Delmotte) cash banking</t>
  </si>
  <si>
    <t xml:space="preserve">The Vegan Cakery </t>
  </si>
  <si>
    <t>new keys</t>
  </si>
  <si>
    <t>£350 received</t>
  </si>
  <si>
    <t>Wedding 2/ 2022</t>
  </si>
  <si>
    <t>Andrew Norman</t>
  </si>
  <si>
    <t>Wirral paths committee room</t>
  </si>
  <si>
    <t>Jane Thornton</t>
  </si>
  <si>
    <t>Natalie Mobsby</t>
  </si>
  <si>
    <t>Security Deposit 24</t>
  </si>
  <si>
    <t>party 29/12</t>
  </si>
  <si>
    <t>Flowers</t>
  </si>
  <si>
    <t xml:space="preserve">Shirley Duncan </t>
  </si>
  <si>
    <t>mobile phone</t>
  </si>
  <si>
    <t>nonorarium 10 months</t>
  </si>
  <si>
    <t>Samantha Leach</t>
  </si>
  <si>
    <t>Security Deposit 25</t>
  </si>
  <si>
    <t>party 12/12</t>
  </si>
  <si>
    <t>*Nov (10+50)</t>
  </si>
  <si>
    <t>Bank Reconciliation November 2021</t>
  </si>
  <si>
    <t>ink cartridges</t>
  </si>
  <si>
    <t>Refund of hour 14/11</t>
  </si>
  <si>
    <t>Hire 13th Nov</t>
  </si>
  <si>
    <t>Jennie Spence</t>
  </si>
  <si>
    <t>Security Deposit 27</t>
  </si>
  <si>
    <t>party 13/2/22</t>
  </si>
  <si>
    <t>party 3 hrs 29/1/22</t>
  </si>
  <si>
    <t>wine tasting 25/1/22</t>
  </si>
  <si>
    <t>cheque refund Nov 21</t>
  </si>
  <si>
    <t>balance of hire fee</t>
  </si>
  <si>
    <t>Balance Sheet as at 31 December 2021</t>
  </si>
  <si>
    <t>unblock drains</t>
  </si>
  <si>
    <t>John Richard Sscurity</t>
  </si>
  <si>
    <t>Nov extra rehearsal</t>
  </si>
  <si>
    <t>Sept-Dec</t>
  </si>
  <si>
    <t>Reconciled to here</t>
  </si>
  <si>
    <t>Ammi Lee</t>
  </si>
  <si>
    <t>Hire 10/1</t>
  </si>
  <si>
    <t>Security Deposit 29</t>
  </si>
  <si>
    <t>Bank Reconciliation December 2021</t>
  </si>
  <si>
    <t>JM Tweed</t>
  </si>
  <si>
    <t>Lace Grouo 2022</t>
  </si>
  <si>
    <t>M Delmottee</t>
  </si>
  <si>
    <t>2022 in advance</t>
  </si>
  <si>
    <t>bin/mop heads</t>
  </si>
  <si>
    <t>Balance of £90 to pay 3 weeks before</t>
  </si>
  <si>
    <t>lights 26/11</t>
  </si>
  <si>
    <t>Jackson</t>
  </si>
  <si>
    <t>fire alarm test</t>
  </si>
  <si>
    <t>Transfer to Depoist Ac</t>
  </si>
  <si>
    <t>Security Deposit 30</t>
  </si>
  <si>
    <t>paryy 22/1/22</t>
  </si>
  <si>
    <t>party cancleed c/f</t>
  </si>
  <si>
    <t>Rachel Dayson</t>
  </si>
  <si>
    <t>cancelled c/f</t>
  </si>
  <si>
    <t>credit v 2021 invoice?</t>
  </si>
  <si>
    <t>British Wheel of Yoga (BWOFY)</t>
  </si>
  <si>
    <t>c/f to July 2022</t>
  </si>
  <si>
    <t>British Wheel of Yoga - H Littler</t>
  </si>
  <si>
    <t>c/f hire July 2022</t>
  </si>
  <si>
    <t>cheque received</t>
  </si>
  <si>
    <t>Security Deposit 31</t>
  </si>
  <si>
    <t>BANK RECONCILIATION AS AT 31 DECEMBER 2022</t>
  </si>
  <si>
    <t xml:space="preserve"> - </t>
  </si>
  <si>
    <t>Zurich accrual - payable March 2022</t>
  </si>
  <si>
    <t>Monday Club Sept to Dec 2021</t>
  </si>
  <si>
    <t>Wirral Lace paid in  advance</t>
  </si>
  <si>
    <t>A Leadbetter</t>
  </si>
  <si>
    <t xml:space="preserve"> carry forward for future booking </t>
  </si>
  <si>
    <t xml:space="preserve"> cancelled c/f for another date </t>
  </si>
  <si>
    <t xml:space="preserve"> Weddding August 2022 </t>
  </si>
  <si>
    <t>Wirral lace</t>
  </si>
  <si>
    <t>paid in 2021</t>
  </si>
  <si>
    <t>c Jan 2022</t>
  </si>
  <si>
    <t>* Jan 2022</t>
  </si>
  <si>
    <t>to be offset v payment in March 2022</t>
  </si>
  <si>
    <t>Bank Reconciliation January 2022</t>
  </si>
  <si>
    <t>Bank Reconciliation February 2022</t>
  </si>
  <si>
    <t>wifi</t>
  </si>
  <si>
    <t>monthly DD</t>
  </si>
  <si>
    <t>28/12 3 hours</t>
  </si>
  <si>
    <t>Argos Jackie Jenkins</t>
  </si>
  <si>
    <t>Smoke alarm for boiler room</t>
  </si>
  <si>
    <t>Mobsby</t>
  </si>
  <si>
    <t>tel top up &amp; ink</t>
  </si>
  <si>
    <t>A Norman Garden</t>
  </si>
  <si>
    <t>Vestibule lights</t>
  </si>
  <si>
    <t>paid in advance c/f into 2022</t>
  </si>
  <si>
    <t>Wirral Lace paid in advance</t>
  </si>
  <si>
    <t>carry forward for future booking</t>
  </si>
  <si>
    <t>Wedding 7/2022</t>
  </si>
  <si>
    <t>cancelled c/f for another date</t>
  </si>
  <si>
    <t>Weddding August 2022</t>
  </si>
  <si>
    <t>event in 2022</t>
  </si>
  <si>
    <t>Hire 10/1/22</t>
  </si>
  <si>
    <t>party 22/1/22</t>
  </si>
  <si>
    <t>date in 2022?</t>
  </si>
  <si>
    <t>1st quarter</t>
  </si>
  <si>
    <t>1 of 12</t>
  </si>
  <si>
    <t>Full year per invoice</t>
  </si>
  <si>
    <t xml:space="preserve"> c/f hire17th  July 2022 </t>
  </si>
  <si>
    <t>Ami Lee</t>
  </si>
  <si>
    <t xml:space="preserve"> Hire 16/1 balance</t>
  </si>
  <si>
    <t>*Jan 2022</t>
  </si>
  <si>
    <t>1/2 year</t>
  </si>
  <si>
    <t>Hire of committee room March</t>
  </si>
  <si>
    <t>Victoria Sandwich bakery</t>
  </si>
  <si>
    <t xml:space="preserve"> WI Walking net ball</t>
  </si>
  <si>
    <t>V Fisher Knit &amp; Natter</t>
  </si>
  <si>
    <t>1/3 of full year</t>
  </si>
  <si>
    <t>Rebecca Norman</t>
  </si>
  <si>
    <t>additional invoice 4 sessions</t>
  </si>
  <si>
    <t xml:space="preserve"> party 7 hours</t>
  </si>
  <si>
    <t>repaid 17/1/22</t>
  </si>
  <si>
    <t>15</t>
  </si>
  <si>
    <t>repay sec dep 13/2021</t>
  </si>
  <si>
    <t>Tuesday Choir 19/12</t>
  </si>
  <si>
    <t>S Montgomery</t>
  </si>
  <si>
    <t>23/1 8-7pm</t>
  </si>
  <si>
    <t>transfer to hire fee</t>
  </si>
  <si>
    <t>repay sec dep 10/2021</t>
  </si>
  <si>
    <t xml:space="preserve"> event in 2022.  offset vs hiring fees.</t>
  </si>
  <si>
    <t>Shirley Duncan</t>
  </si>
  <si>
    <t>Phone top up</t>
  </si>
  <si>
    <t>Felicity Robinson</t>
  </si>
  <si>
    <t>party 5/2/22 - balance pyt</t>
  </si>
  <si>
    <t>Balance party 29/1</t>
  </si>
  <si>
    <t>Catherine Shippen</t>
  </si>
  <si>
    <t>party 30/1</t>
  </si>
  <si>
    <t>repaid 29/1</t>
  </si>
  <si>
    <t>repay sec dep 14/2021</t>
  </si>
  <si>
    <t>rebalance and recharge</t>
  </si>
  <si>
    <t>Security Deposit 5  - 26/3</t>
  </si>
  <si>
    <t>party 12/2</t>
  </si>
  <si>
    <t>balance to pay</t>
  </si>
  <si>
    <t>repaid 31/1</t>
  </si>
  <si>
    <t>repay sec dep 5/2021</t>
  </si>
  <si>
    <t xml:space="preserve">Wine tasting 13/4 </t>
  </si>
  <si>
    <t>party 16/7</t>
  </si>
  <si>
    <t>Dione Cairns</t>
  </si>
  <si>
    <t>party 12/3</t>
  </si>
  <si>
    <t>accrual</t>
  </si>
  <si>
    <t>First Term Payment</t>
  </si>
  <si>
    <t>STO February 2/12</t>
  </si>
  <si>
    <t>Revised</t>
  </si>
  <si>
    <t>Rebalance and Recharge</t>
  </si>
  <si>
    <t>S Wirral lace</t>
  </si>
  <si>
    <t>Post Office</t>
  </si>
  <si>
    <t>Almond House</t>
  </si>
  <si>
    <t>Sian Montgomery</t>
  </si>
  <si>
    <t>*Feb chq</t>
  </si>
  <si>
    <t>1st term 16 hours</t>
  </si>
  <si>
    <t>18th Feb sound healing</t>
  </si>
  <si>
    <t>refund part of booking fee</t>
  </si>
  <si>
    <t>Transfer to Deposit A/C</t>
  </si>
  <si>
    <t>move funds to deposit a/c</t>
  </si>
  <si>
    <t>Rebecca Ringwood/May</t>
  </si>
  <si>
    <t>repay sec dep 12/21</t>
  </si>
  <si>
    <t>repay sec dep 15/21</t>
  </si>
  <si>
    <t>Boiler Service and Safety cert</t>
  </si>
  <si>
    <t>HL Prior</t>
  </si>
  <si>
    <t>19th March</t>
  </si>
  <si>
    <t>C Jones</t>
  </si>
  <si>
    <t>Key cutting x 2</t>
  </si>
  <si>
    <t>Reconciled</t>
  </si>
  <si>
    <t>STO March 3/12</t>
  </si>
  <si>
    <t>party 26/3 balance</t>
  </si>
  <si>
    <t>repaid Feb 22</t>
  </si>
  <si>
    <t>Income and Expenditure Account for the Year ended 31 December 2021</t>
  </si>
  <si>
    <t>1/4 payments</t>
  </si>
  <si>
    <t>HMB Ent Post Office</t>
  </si>
  <si>
    <t>reverse accrual</t>
  </si>
  <si>
    <t>reversed v payment in March</t>
  </si>
  <si>
    <t>12 months to March 2023</t>
  </si>
  <si>
    <t>annual website sub</t>
  </si>
  <si>
    <t>Auditors gift</t>
  </si>
  <si>
    <t>Boiler repair</t>
  </si>
  <si>
    <t xml:space="preserve">Rainbows </t>
  </si>
  <si>
    <t>First term payment</t>
  </si>
  <si>
    <t>A Norman</t>
  </si>
  <si>
    <t>date?</t>
  </si>
  <si>
    <t>Wedding 12/8</t>
  </si>
  <si>
    <t>Bank Reconciliation March 2022</t>
  </si>
  <si>
    <t>Dionne Cairns</t>
  </si>
  <si>
    <t>Samanatha Leach</t>
  </si>
  <si>
    <t>repaid March 2022</t>
  </si>
  <si>
    <t>repay sec dep 11/2021</t>
  </si>
  <si>
    <t>STO April 4/12</t>
  </si>
  <si>
    <t>31st July?</t>
  </si>
  <si>
    <t>Sophie McCoy</t>
  </si>
  <si>
    <t>Ink cartridge</t>
  </si>
  <si>
    <t>2nd Quarter</t>
  </si>
  <si>
    <t>Garden maintenance</t>
  </si>
  <si>
    <t>Electric PAT test</t>
  </si>
  <si>
    <t>Parish Mag adverts</t>
  </si>
  <si>
    <t>Mark Reid</t>
  </si>
  <si>
    <t>Jan -April waste water/sewage</t>
  </si>
  <si>
    <t>Repairs to pipe leak</t>
  </si>
  <si>
    <t>Etienne</t>
  </si>
  <si>
    <t>telephone top up</t>
  </si>
  <si>
    <t>wifi cupboard</t>
  </si>
  <si>
    <t>Party 14th May</t>
  </si>
  <si>
    <t>STO May 5/12</t>
  </si>
  <si>
    <t>15 May</t>
  </si>
  <si>
    <t>Unblock drains</t>
  </si>
  <si>
    <t>toilet leak</t>
  </si>
  <si>
    <t>Summer term</t>
  </si>
  <si>
    <t>replace socket in kitchen</t>
  </si>
  <si>
    <t>Bank Reconciliation May 2022</t>
  </si>
  <si>
    <t>Fire checks</t>
  </si>
  <si>
    <t>Deposit for sign</t>
  </si>
  <si>
    <t>2nd payment</t>
  </si>
  <si>
    <t>Morrismen</t>
  </si>
  <si>
    <t>Steven Casey</t>
  </si>
  <si>
    <t>Laura Kilfoyle wedding 7/23</t>
  </si>
  <si>
    <t>one hour refund</t>
  </si>
  <si>
    <t>Walking Netball WI</t>
  </si>
  <si>
    <t>*cheque deposit</t>
  </si>
  <si>
    <t>various cleaning materials</t>
  </si>
  <si>
    <t>Part deposit held back</t>
  </si>
  <si>
    <t>Refund 7 sessions canc</t>
  </si>
  <si>
    <t>Sarah Beck yoga</t>
  </si>
  <si>
    <t>Helen Prior</t>
  </si>
  <si>
    <t>No dogs' sign</t>
  </si>
  <si>
    <t>2nd Payment</t>
  </si>
  <si>
    <t>1st half honorarium</t>
  </si>
  <si>
    <t>Rebecca Rogers</t>
  </si>
  <si>
    <t xml:space="preserve">McAdam Roofing </t>
  </si>
  <si>
    <t>Party 9/7</t>
  </si>
  <si>
    <t>Bank Reconciliation June 2022</t>
  </si>
  <si>
    <t>Bank Reconciliation July 2022</t>
  </si>
  <si>
    <t>tel top up</t>
  </si>
  <si>
    <t>Pat Shillington</t>
  </si>
  <si>
    <t>Karate</t>
  </si>
  <si>
    <t>3rd quarter</t>
  </si>
  <si>
    <t>6 Apr to 11 Jul est reading</t>
  </si>
  <si>
    <t>Bedding plants WI</t>
  </si>
  <si>
    <t>contra for hire v depoist</t>
  </si>
  <si>
    <t>Party 3/9</t>
  </si>
  <si>
    <t>Lisa Williams</t>
  </si>
  <si>
    <t>credit re 2019/20 items 1&amp;2</t>
  </si>
  <si>
    <t>Kathryn Poole</t>
  </si>
  <si>
    <t>Party 22/10</t>
  </si>
  <si>
    <t>Richard Hague 1/4/23</t>
  </si>
  <si>
    <t>repay sec dep11</t>
  </si>
  <si>
    <t xml:space="preserve">Security Deposit 16 </t>
  </si>
  <si>
    <t>Nov 22nd</t>
  </si>
  <si>
    <t>Security Deposits Outstanding at 31 Deccember 2022</t>
  </si>
  <si>
    <t>Kiah/Ella Page 29th Aug wedding</t>
  </si>
  <si>
    <t>Event cancelled in 2021 carry forward</t>
  </si>
  <si>
    <t>Party 1st April 2023</t>
  </si>
  <si>
    <t>Party 22nd October 2022</t>
  </si>
  <si>
    <t>Party 3rd Sept 2022</t>
  </si>
  <si>
    <t>party 31/7</t>
  </si>
  <si>
    <t>Julie Roberts</t>
  </si>
  <si>
    <t>13th August Cttee room</t>
  </si>
  <si>
    <t>Elizabeth Carter</t>
  </si>
  <si>
    <t>repaid July 2022</t>
  </si>
  <si>
    <t>repay sec dep 4/2021 canc wedding</t>
  </si>
  <si>
    <t>Wedding August 2022</t>
  </si>
  <si>
    <t>STO June 6/12</t>
  </si>
  <si>
    <t>STO July 7/12</t>
  </si>
  <si>
    <t>Oven Clean</t>
  </si>
  <si>
    <t>Garden work</t>
  </si>
  <si>
    <t>Oven clean</t>
  </si>
  <si>
    <t>Kirsty Wright</t>
  </si>
  <si>
    <t>FOWM AGM</t>
  </si>
  <si>
    <t>Horticultural Soc</t>
  </si>
  <si>
    <t>Dishwasher fluid</t>
  </si>
  <si>
    <t xml:space="preserve">Paid by D Francey </t>
  </si>
  <si>
    <t>Bank Reconciliation August 2022</t>
  </si>
  <si>
    <t>Neeta Shelock</t>
  </si>
  <si>
    <t>repay sec dep 9/21</t>
  </si>
  <si>
    <t>Balance of £140 to make £590 (pd£450)</t>
  </si>
  <si>
    <t>repaid 26/8</t>
  </si>
  <si>
    <t>Kiah Page</t>
  </si>
  <si>
    <t>Deposit £200; £180 repaid</t>
  </si>
  <si>
    <t>S Reynolds Deposit</t>
  </si>
  <si>
    <t>What is this?</t>
  </si>
  <si>
    <t>???</t>
  </si>
  <si>
    <t>rebalance and recharge - May hires</t>
  </si>
  <si>
    <t>Lisa Nicholls CGMA (Honorary Treasurer)</t>
  </si>
  <si>
    <t>2021 (Full Year)</t>
  </si>
  <si>
    <t>Willaston preschool</t>
  </si>
  <si>
    <t>First aid kit top up</t>
  </si>
  <si>
    <t>Mobile phone top up</t>
  </si>
  <si>
    <t>Rebalance &amp; Recharge</t>
  </si>
  <si>
    <t>Christ Chruch</t>
  </si>
  <si>
    <t>Cheque deposit</t>
  </si>
  <si>
    <t>ref 16/11/22</t>
  </si>
  <si>
    <t>Porter - wine tasting</t>
  </si>
  <si>
    <t>ref 21/9, 19/10</t>
  </si>
  <si>
    <t>McMillan Coffee Morning</t>
  </si>
  <si>
    <t>S Martin</t>
  </si>
  <si>
    <t>Grill Master</t>
  </si>
  <si>
    <t>Repair to dishwasher</t>
  </si>
  <si>
    <t>June 22</t>
  </si>
  <si>
    <t>July 22</t>
  </si>
  <si>
    <t>August 22</t>
  </si>
  <si>
    <t>September 22</t>
  </si>
  <si>
    <t>Fitzpatrick</t>
  </si>
  <si>
    <t>Party 9th October</t>
  </si>
  <si>
    <t>Reverse door &amp; frame</t>
  </si>
  <si>
    <t>October 22</t>
  </si>
  <si>
    <t>Karate (Robinson)</t>
  </si>
  <si>
    <t>4th quarter</t>
  </si>
  <si>
    <t>STO July 8/12</t>
  </si>
  <si>
    <t>22/10 Julie</t>
  </si>
  <si>
    <t>Party 25th December</t>
  </si>
  <si>
    <t>3rd installment</t>
  </si>
  <si>
    <t>Laura Kilfoyle wedding 9/23</t>
  </si>
  <si>
    <t>Wedding in September 2023</t>
  </si>
  <si>
    <t>repaid 17/10</t>
  </si>
  <si>
    <t>Security Deposit 15a</t>
  </si>
  <si>
    <t>Repay Security Deposit 15a</t>
  </si>
  <si>
    <t>Event 1st October</t>
  </si>
  <si>
    <t>x</t>
  </si>
  <si>
    <t>Repay Security Deposit 19</t>
  </si>
  <si>
    <t>Repay Security Deposit 18</t>
  </si>
  <si>
    <t>Party 7/1/22</t>
  </si>
  <si>
    <t>Quiz night 22/10</t>
  </si>
  <si>
    <t>2227D</t>
  </si>
  <si>
    <t>Reynolds</t>
  </si>
  <si>
    <t>B &amp; M Waste Disposal</t>
  </si>
  <si>
    <t>Cleaning materials</t>
  </si>
  <si>
    <t>Jul - Oct</t>
  </si>
  <si>
    <t>Wedding 16/6/23</t>
  </si>
  <si>
    <t>Party 7/1/23</t>
  </si>
  <si>
    <t>Carole Battersby</t>
  </si>
  <si>
    <t>Party 21/12</t>
  </si>
  <si>
    <t>Party 21/12/22</t>
  </si>
  <si>
    <t>Willaston residents AGM</t>
  </si>
  <si>
    <t>Oct inv</t>
  </si>
  <si>
    <t>Event 7th October - inv 2210</t>
  </si>
  <si>
    <t>9th payment</t>
  </si>
  <si>
    <t>Bank Reconciliation October 2022</t>
  </si>
  <si>
    <t>Bank Reconciliation November 2022</t>
  </si>
  <si>
    <t>Costco / Spar cleaning materials</t>
  </si>
  <si>
    <t>Radiator covers</t>
  </si>
  <si>
    <t>Flowers for garden</t>
  </si>
  <si>
    <t>Capenhurst Junior</t>
  </si>
  <si>
    <t>Philip Maltas</t>
  </si>
  <si>
    <t>Paid with £84 for private booking</t>
  </si>
  <si>
    <t>Pilgrim</t>
  </si>
  <si>
    <t>Booking 14/01/23</t>
  </si>
  <si>
    <t>Printer Ink</t>
  </si>
  <si>
    <t>Fire alarm checks</t>
  </si>
  <si>
    <t>PAS Sound systems</t>
  </si>
  <si>
    <t>Overhaul of sound system</t>
  </si>
  <si>
    <t>Booking 14/05/23</t>
  </si>
  <si>
    <t>Bank Reconciliation December 2022</t>
  </si>
  <si>
    <t>2nd half honorarium</t>
  </si>
  <si>
    <t>to 29October</t>
  </si>
  <si>
    <t>to 29November</t>
  </si>
  <si>
    <t>to 10December</t>
  </si>
  <si>
    <t>to 1November</t>
  </si>
  <si>
    <t>to 1December</t>
  </si>
  <si>
    <t>British Gas - Electricity</t>
  </si>
  <si>
    <t>CCTV system</t>
  </si>
  <si>
    <t>Income and Expenditure Account for the period ended 31st December 2022</t>
  </si>
  <si>
    <t>Balance Sheet as at 31st December 2022</t>
  </si>
  <si>
    <t>Willaston Hall Budget 2023</t>
  </si>
  <si>
    <t>estimate - no bookings</t>
  </si>
  <si>
    <t>estimate - confirmed but not in calendar</t>
  </si>
  <si>
    <t>Repay Security Deposit 17</t>
  </si>
  <si>
    <t>Repay Security Deposit 16</t>
  </si>
  <si>
    <t>Kathryn Poole - security deposit</t>
  </si>
  <si>
    <t>Parties Booked not listed above</t>
  </si>
  <si>
    <t>8th Jan</t>
  </si>
  <si>
    <t>14th Jan</t>
  </si>
  <si>
    <t>McKittrick</t>
  </si>
  <si>
    <t>28th Jan</t>
  </si>
  <si>
    <t>Party 29/01/23</t>
  </si>
  <si>
    <t>Booking 25/12/22</t>
  </si>
  <si>
    <t>11th Feb</t>
  </si>
  <si>
    <t>Afternoon Tea</t>
  </si>
  <si>
    <t>29th Apr</t>
  </si>
  <si>
    <t>14th May</t>
  </si>
  <si>
    <t>Repay Security Deposit 21</t>
  </si>
  <si>
    <t>Carole Battersby - security deposit</t>
  </si>
  <si>
    <t>repaid 31/12</t>
  </si>
  <si>
    <t>Inv 2220</t>
  </si>
  <si>
    <t>Floodlights / refit double socket</t>
  </si>
  <si>
    <t>Booking 10/12</t>
  </si>
  <si>
    <t>Party 10/12</t>
  </si>
  <si>
    <t>November 22</t>
  </si>
  <si>
    <t>Capenhurst Junior Rugby Club</t>
  </si>
  <si>
    <t>Pd 92</t>
  </si>
  <si>
    <t>Transfer to Savings</t>
  </si>
  <si>
    <t>Ist payment</t>
  </si>
  <si>
    <t>ist payment</t>
  </si>
  <si>
    <t>Willaston Karate</t>
  </si>
  <si>
    <t>Repaid 4/1</t>
  </si>
  <si>
    <t>Security deposit refunds</t>
  </si>
  <si>
    <t>Walking Netball</t>
  </si>
  <si>
    <t>Porter (wine tasting)</t>
  </si>
  <si>
    <t>8/3, 19/4</t>
  </si>
  <si>
    <t>Earnden</t>
  </si>
  <si>
    <t>Party 7/1</t>
  </si>
  <si>
    <t>Party 4/3</t>
  </si>
  <si>
    <t>WI bridge club</t>
  </si>
  <si>
    <t>J F Heating</t>
  </si>
  <si>
    <t>Hadlow Green</t>
  </si>
  <si>
    <t>Mugs</t>
  </si>
  <si>
    <t>Computer paper</t>
  </si>
  <si>
    <t>Refund - invoice overcharged</t>
  </si>
  <si>
    <t>J M Tweed</t>
  </si>
  <si>
    <t>Sign</t>
  </si>
  <si>
    <t>11 Feb Felicity</t>
  </si>
  <si>
    <t>Party 11/2</t>
  </si>
  <si>
    <t>Sarah Beck</t>
  </si>
  <si>
    <t>Yoga teacher training</t>
  </si>
  <si>
    <t>Rachael McKittrick</t>
  </si>
  <si>
    <t>Party 28/1</t>
  </si>
  <si>
    <t>Repaid 17/1</t>
  </si>
  <si>
    <t>Party 7th Jan</t>
  </si>
  <si>
    <t>Graham Book</t>
  </si>
  <si>
    <t>Sophie Smith</t>
  </si>
  <si>
    <t>Jean Sambrooks</t>
  </si>
  <si>
    <t>Christmas Dinner - 25/12</t>
  </si>
  <si>
    <t>New phone for bookings secretary</t>
  </si>
  <si>
    <t>January 23</t>
  </si>
  <si>
    <t>Party 15/1</t>
  </si>
  <si>
    <t>Party 25/2</t>
  </si>
  <si>
    <t>Hall</t>
  </si>
  <si>
    <t>Repaid 23/1</t>
  </si>
  <si>
    <t>L Pilgrim</t>
  </si>
  <si>
    <t>Friends of Hadlow Road</t>
  </si>
  <si>
    <t>Inv 2316</t>
  </si>
  <si>
    <t>Jan End</t>
  </si>
  <si>
    <t>Bank Reconciliation Jan 2023</t>
  </si>
  <si>
    <t>Party 4/2</t>
  </si>
  <si>
    <t>Party 27/4</t>
  </si>
  <si>
    <t>Inv 2304 - part 1</t>
  </si>
  <si>
    <t>Welsh water (oaid twice - defer to next payment)</t>
  </si>
  <si>
    <t>inv 2308</t>
  </si>
  <si>
    <t>Bank Reconciliation Feb 2023</t>
  </si>
  <si>
    <t>Feb End</t>
  </si>
  <si>
    <t>Welsh water (Paid twice - defer to next payment)</t>
  </si>
  <si>
    <t>Party 11th Feb</t>
  </si>
  <si>
    <t>Felcity Robinson</t>
  </si>
  <si>
    <t>Wedding 11/11</t>
  </si>
  <si>
    <t>Clark</t>
  </si>
  <si>
    <t>Abbie Young</t>
  </si>
  <si>
    <t>Sarah McCoullough</t>
  </si>
  <si>
    <t>Hire 18/3</t>
  </si>
  <si>
    <t>Jodie Powell</t>
  </si>
  <si>
    <t>Hope Howard</t>
  </si>
  <si>
    <t>February 23</t>
  </si>
  <si>
    <t>Wedding 11/11/23</t>
  </si>
  <si>
    <t>Wedding?</t>
  </si>
  <si>
    <t>C Wise</t>
  </si>
  <si>
    <t>Home Bargains</t>
  </si>
  <si>
    <t>Jay Kennedy</t>
  </si>
  <si>
    <t>Microphone</t>
  </si>
  <si>
    <t>Party 11/3</t>
  </si>
  <si>
    <t>Repaid 20/2</t>
  </si>
  <si>
    <t>Repaid 22/2</t>
  </si>
  <si>
    <t>2022 (Full Year)</t>
  </si>
  <si>
    <t>Security Deposits Outstanding at 31 Deccember 2023</t>
  </si>
  <si>
    <t>Boiler service</t>
  </si>
  <si>
    <t>Hire 26/2</t>
  </si>
  <si>
    <t>slightly higher than 2022</t>
  </si>
  <si>
    <t xml:space="preserve">          1. The Trustees hold the freehold of the building which has an insured value of £1,364,828.72 (March 2023).</t>
  </si>
  <si>
    <t>Party 12/2</t>
  </si>
  <si>
    <t>Mar End</t>
  </si>
  <si>
    <t>Bank Reconciliation Mar 2023</t>
  </si>
  <si>
    <t>Payment 3</t>
  </si>
  <si>
    <t>Hewitt</t>
  </si>
  <si>
    <t>Party 12/3</t>
  </si>
  <si>
    <t>March 23</t>
  </si>
  <si>
    <t>L Hewitt</t>
  </si>
  <si>
    <t>Mia Littler</t>
  </si>
  <si>
    <t>Party 1/4</t>
  </si>
  <si>
    <t>Inv 2301</t>
  </si>
  <si>
    <t>Sophie Hughes</t>
  </si>
  <si>
    <t>Party 23/7</t>
  </si>
  <si>
    <t>Venues for hire</t>
  </si>
  <si>
    <t>Inv 2724</t>
  </si>
  <si>
    <t>Repaid 8/3</t>
  </si>
  <si>
    <t>Repaid 6/3</t>
  </si>
  <si>
    <t>Abbey Young</t>
  </si>
  <si>
    <t>Party 25/3</t>
  </si>
  <si>
    <t>R Sant-Cassia</t>
  </si>
  <si>
    <t>Committee Room 7/3</t>
  </si>
  <si>
    <t>Repaid 13/3</t>
  </si>
  <si>
    <t>Party 11/11</t>
  </si>
  <si>
    <t>Cheshire West</t>
  </si>
  <si>
    <t>Repaid 21/3</t>
  </si>
  <si>
    <t>Repaid 22/3</t>
  </si>
  <si>
    <t>Zurich</t>
  </si>
  <si>
    <t>Apr 23 - Mar 24</t>
  </si>
  <si>
    <t>Party 29/1</t>
  </si>
  <si>
    <t>Olga Weir</t>
  </si>
  <si>
    <t>Party 30/4</t>
  </si>
  <si>
    <t>Tea Towels</t>
  </si>
  <si>
    <t>March charges</t>
  </si>
  <si>
    <t>Ink cartidges</t>
  </si>
  <si>
    <t>Andy Leadbetter</t>
  </si>
  <si>
    <t>Supply &amp; replace 2 x shutter fans</t>
  </si>
  <si>
    <t>Apr End</t>
  </si>
  <si>
    <t>Bank Reconciliation Apr 2023</t>
  </si>
  <si>
    <t>Payment 2</t>
  </si>
  <si>
    <t>Loorolls</t>
  </si>
  <si>
    <t>New clock (John Lewis)</t>
  </si>
  <si>
    <t>Key safe</t>
  </si>
  <si>
    <t>Cleaning products</t>
  </si>
  <si>
    <t>WOW (Jay Kennedy)</t>
  </si>
  <si>
    <t>Inv 2302</t>
  </si>
  <si>
    <t>Frobishers</t>
  </si>
  <si>
    <t>Insurance valuation</t>
  </si>
  <si>
    <t>Event 9/7 &amp; 24/10</t>
  </si>
  <si>
    <t>Includes cost of valuation</t>
  </si>
  <si>
    <t>file</t>
  </si>
  <si>
    <t>2022 10 Rentokil</t>
  </si>
  <si>
    <t>2022 11 Rentokil</t>
  </si>
  <si>
    <t>2202 08 British Gas</t>
  </si>
  <si>
    <t>2022 09 B&amp;M</t>
  </si>
  <si>
    <t>2022 09 SC</t>
  </si>
  <si>
    <t>2022 09 DF Gordale</t>
  </si>
  <si>
    <t>2022 09 DF CostCo</t>
  </si>
  <si>
    <t>2022 09 Grillmaster</t>
  </si>
  <si>
    <t>2022 09 Inside Out</t>
  </si>
  <si>
    <t>2022 09 SD Phone</t>
  </si>
  <si>
    <t>2022 12 Inside out</t>
  </si>
  <si>
    <t>2022 12 Sonitech</t>
  </si>
  <si>
    <t>2022 11 SD Ink</t>
  </si>
  <si>
    <t>2022 10 SD phone</t>
  </si>
  <si>
    <t>2022 10 Inside Out</t>
  </si>
  <si>
    <t>2022 11 DF Loo rolls</t>
  </si>
  <si>
    <t>2022 11 Jacksons</t>
  </si>
  <si>
    <t>2022 11 PAS</t>
  </si>
  <si>
    <t>2022 11 SD phone</t>
  </si>
  <si>
    <t>2022 11 Inside Out</t>
  </si>
  <si>
    <t>N/A</t>
  </si>
  <si>
    <t>Abbas</t>
  </si>
  <si>
    <t>Party 15/4</t>
  </si>
  <si>
    <t>10</t>
  </si>
  <si>
    <t>01</t>
  </si>
  <si>
    <t>02</t>
  </si>
  <si>
    <t>03</t>
  </si>
  <si>
    <t>04</t>
  </si>
  <si>
    <t>05</t>
  </si>
  <si>
    <t>06</t>
  </si>
  <si>
    <t>08</t>
  </si>
  <si>
    <t>13</t>
  </si>
  <si>
    <t>07</t>
  </si>
  <si>
    <t>09</t>
  </si>
  <si>
    <t>Ref</t>
  </si>
  <si>
    <t>S Reynolds</t>
  </si>
  <si>
    <t>Wedding 16/6</t>
  </si>
  <si>
    <t>Willaston Tennis</t>
  </si>
  <si>
    <t>Booking 18/4</t>
  </si>
  <si>
    <t>Booking 19/7</t>
  </si>
  <si>
    <t>Paid 23/1 as duplicate payment</t>
  </si>
  <si>
    <t>6/1 to 13/4</t>
  </si>
  <si>
    <t>Repaid 12/4</t>
  </si>
  <si>
    <t>Repaid 17/4</t>
  </si>
  <si>
    <t>Repaid 25/4</t>
  </si>
  <si>
    <t>April 23</t>
  </si>
  <si>
    <t>April - SERIAL NO - 645559</t>
  </si>
  <si>
    <t>April cleaning</t>
  </si>
  <si>
    <t>2022 09 Dundas</t>
  </si>
  <si>
    <t>May End</t>
  </si>
  <si>
    <t>Bank Reconciliation May 2023</t>
  </si>
  <si>
    <t>May - SERIAL NO - 645559</t>
  </si>
  <si>
    <t>Payment 4</t>
  </si>
  <si>
    <t>Elections</t>
  </si>
  <si>
    <t>A Norman - inv 52</t>
  </si>
  <si>
    <t>A Norman - inv ??</t>
  </si>
  <si>
    <t>Honorarium</t>
  </si>
  <si>
    <t>Estelle Petitjean</t>
  </si>
  <si>
    <t>Repaid 14/5</t>
  </si>
  <si>
    <t>Fire extnguisher service</t>
  </si>
  <si>
    <t>Fire alarm service</t>
  </si>
  <si>
    <t>Emergency lighting service</t>
  </si>
  <si>
    <t>May - inc chairs in committee room &amp; gutters</t>
  </si>
  <si>
    <t>Spare keys cut</t>
  </si>
  <si>
    <t>3rd June</t>
  </si>
  <si>
    <t>Becky Wong</t>
  </si>
  <si>
    <t>May 23</t>
  </si>
  <si>
    <t>Party 17/6</t>
  </si>
  <si>
    <t>Bank Reconciliation June 2023</t>
  </si>
  <si>
    <t>VAT omitted on above payment</t>
  </si>
  <si>
    <t>Council</t>
  </si>
  <si>
    <t>Jun End</t>
  </si>
  <si>
    <t>Payment 5</t>
  </si>
  <si>
    <t>Stephanie Milne</t>
  </si>
  <si>
    <t>Party 1/7</t>
  </si>
  <si>
    <t>Committee Room 7/6</t>
  </si>
  <si>
    <t>June 23</t>
  </si>
  <si>
    <t>Francesca Council</t>
  </si>
  <si>
    <t>HHL Property Management</t>
  </si>
  <si>
    <t xml:space="preserve">Meeting </t>
  </si>
  <si>
    <t>Training Package for Brian Duncan</t>
  </si>
  <si>
    <t>Gardening - A Norman</t>
  </si>
  <si>
    <t>Amber Button</t>
  </si>
  <si>
    <t>2</t>
  </si>
  <si>
    <t>7</t>
  </si>
  <si>
    <t>8</t>
  </si>
  <si>
    <t>Repaid 26/6</t>
  </si>
  <si>
    <t>Income and Expenditure Account for the period ended 30th June 2023</t>
  </si>
  <si>
    <t>Balance Sheet as at 30th June 2023</t>
  </si>
  <si>
    <t>Other</t>
  </si>
  <si>
    <t>Jul End</t>
  </si>
  <si>
    <t>Bank Reconciliation July 2023</t>
  </si>
  <si>
    <t>Payment 6</t>
  </si>
  <si>
    <t>Committee Room 5/7</t>
  </si>
  <si>
    <t>A Leadbetter Invoice</t>
  </si>
  <si>
    <t>Can be released</t>
  </si>
  <si>
    <t>AF Coucill</t>
  </si>
  <si>
    <t>Repaid 17/7</t>
  </si>
  <si>
    <t>Coderoni</t>
  </si>
  <si>
    <t>Party 2/9</t>
  </si>
  <si>
    <t>Counter credit</t>
  </si>
  <si>
    <t>Land registry</t>
  </si>
  <si>
    <t>Fire extinguishers</t>
  </si>
  <si>
    <t>Repaid 23/7</t>
  </si>
  <si>
    <t>PCC</t>
  </si>
  <si>
    <t>Event 28/7</t>
  </si>
  <si>
    <t>Costco</t>
  </si>
  <si>
    <t>Screwfix</t>
  </si>
  <si>
    <t>Halfords</t>
  </si>
  <si>
    <t>14/4 to 14/7</t>
  </si>
  <si>
    <t>July 23</t>
  </si>
  <si>
    <t>23/8 13/9 8/11</t>
  </si>
  <si>
    <t>Black</t>
  </si>
  <si>
    <t>Party 16/3/24</t>
  </si>
  <si>
    <t>Aug End</t>
  </si>
  <si>
    <t>Bank Reconciliation Aug 2023</t>
  </si>
  <si>
    <t>Payment 7</t>
  </si>
  <si>
    <t>Payment 8</t>
  </si>
  <si>
    <t>Ink cartridges</t>
  </si>
  <si>
    <t>Roberts JM</t>
  </si>
  <si>
    <t>Event 7/10</t>
  </si>
  <si>
    <t>Eveny 23/7</t>
  </si>
  <si>
    <t>Repaid 22/8</t>
  </si>
  <si>
    <t>Repaid 5/8</t>
  </si>
  <si>
    <t>Wedding 18/6/23</t>
  </si>
  <si>
    <t>Wedding 23/6</t>
  </si>
  <si>
    <t>The Trustees hold the freehold of the building which has an insured value of £1,213,181.08 (March 2022).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</si>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</sst>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&quot;£&quot;#,##0.00"/>
    <numFmt numFmtId="166" formatCode="_-* #,##0_-;\-* #,##0_-;_-* &quot;-&quot;??_-;_-@_-"/>
    <numFmt numFmtId="167" formatCode="0.0"/>
    <numFmt numFmtId="168" formatCode="_-* #,##0.0_-;\-* #,##0.0_-;_-* &quot;-&quot;??_-;_-@_-"/>
    <numFmt numFmtId="169" formatCode="dd/mm/yy;@"/>
    <numFmt numFmtId="170" formatCode="#,##0.00_);\(#,##0.00\);&quot;-&quot;"/>
    <numFmt numFmtId="171" formatCode="#,##0.00_);\(#,##0.00\)"/>
    <numFmt numFmtId="172" formatCode="#,##0.000000000000"/>
  </numFmts>
  <fonts count="58" x14ac:knownFonts="1">
    <font>
      <sz val="10"/>
      <name val="Arial"/>
    </font>
    <font>
      <b/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sz val="9"/>
      <name val="Trebuchet MS"/>
      <family val="2"/>
    </font>
    <font>
      <sz val="9.5"/>
      <name val="Trebuchet MS"/>
      <family val="2"/>
    </font>
    <font>
      <sz val="10"/>
      <name val="Arial"/>
      <family val="2"/>
    </font>
    <font>
      <i/>
      <sz val="8"/>
      <name val="Trebuchet MS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8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/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b/>
      <u/>
      <sz val="10"/>
      <name val="Arial"/>
      <family val="2"/>
    </font>
    <font>
      <b/>
      <sz val="9.5"/>
      <name val="Trebuchet MS"/>
      <family val="2"/>
    </font>
    <font>
      <b/>
      <i/>
      <sz val="8"/>
      <name val="Trebuchet MS"/>
      <family val="2"/>
    </font>
    <font>
      <b/>
      <sz val="9.5"/>
      <color rgb="FFFF0000"/>
      <name val="Trebuchet MS"/>
      <family val="2"/>
    </font>
    <font>
      <b/>
      <i/>
      <sz val="8"/>
      <color rgb="FFFF0000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u/>
      <sz val="12"/>
      <name val="Trebuchet MS"/>
      <family val="2"/>
    </font>
    <font>
      <b/>
      <u/>
      <sz val="12"/>
      <name val="Trebuchet MS"/>
      <family val="2"/>
    </font>
    <font>
      <i/>
      <sz val="12"/>
      <color rgb="FF0070C0"/>
      <name val="Arial"/>
      <family val="2"/>
    </font>
    <font>
      <b/>
      <sz val="12"/>
      <name val="Arial"/>
      <family val="2"/>
    </font>
    <font>
      <i/>
      <sz val="12"/>
      <name val="Trebuchet MS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i/>
      <sz val="12"/>
      <name val="Trebuchet MS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5" tint="-0.249977111117893"/>
      <name val="Arial"/>
      <family val="2"/>
    </font>
    <font>
      <i/>
      <sz val="12"/>
      <color theme="5" tint="-0.249977111117893"/>
      <name val="Trebuchet MS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Trebuchet MS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2"/>
      <color rgb="FF0000FF"/>
      <name val="Trebuchet MS"/>
      <family val="2"/>
    </font>
    <font>
      <sz val="12"/>
      <color theme="9" tint="-0.499984740745262"/>
      <name val="Arial"/>
      <family val="2"/>
    </font>
    <font>
      <sz val="12"/>
      <color rgb="FFFF6600"/>
      <name val="Arial"/>
      <family val="2"/>
    </font>
    <font>
      <sz val="10"/>
      <color rgb="FFFF6600"/>
      <name val="Arial"/>
      <family val="2"/>
    </font>
    <font>
      <i/>
      <sz val="12"/>
      <color rgb="FFFF6600"/>
      <name val="Trebuchet MS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</font>
    <font>
      <sz val="10.5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4BAC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5778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33">
    <xf numFmtId="0" fontId="0" fillId="0" borderId="0" xfId="0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7" fillId="0" borderId="0" xfId="0" applyNumberFormat="1" applyFont="1"/>
    <xf numFmtId="49" fontId="7" fillId="0" borderId="0" xfId="0" applyNumberFormat="1" applyFont="1" applyAlignment="1">
      <alignment horizontal="center"/>
    </xf>
    <xf numFmtId="1" fontId="7" fillId="0" borderId="0" xfId="0" applyNumberFormat="1" applyFont="1"/>
    <xf numFmtId="1" fontId="8" fillId="0" borderId="0" xfId="0" applyNumberFormat="1" applyFont="1"/>
    <xf numFmtId="0" fontId="7" fillId="0" borderId="0" xfId="0" applyFont="1"/>
    <xf numFmtId="2" fontId="10" fillId="0" borderId="0" xfId="0" applyNumberFormat="1" applyFont="1"/>
    <xf numFmtId="2" fontId="11" fillId="0" borderId="0" xfId="0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1" fontId="14" fillId="0" borderId="0" xfId="0" applyNumberFormat="1" applyFont="1"/>
    <xf numFmtId="1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1" fillId="0" borderId="0" xfId="0" applyFont="1"/>
    <xf numFmtId="2" fontId="7" fillId="0" borderId="0" xfId="0" applyNumberFormat="1" applyFont="1" applyAlignment="1">
      <alignment horizontal="center"/>
    </xf>
    <xf numFmtId="2" fontId="7" fillId="3" borderId="0" xfId="0" applyNumberFormat="1" applyFont="1" applyFill="1"/>
    <xf numFmtId="49" fontId="1" fillId="0" borderId="0" xfId="0" applyNumberFormat="1" applyFont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17" fillId="0" borderId="0" xfId="0" applyFont="1"/>
    <xf numFmtId="1" fontId="1" fillId="4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7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2" fontId="7" fillId="2" borderId="0" xfId="0" applyNumberFormat="1" applyFont="1" applyFill="1"/>
    <xf numFmtId="1" fontId="18" fillId="0" borderId="0" xfId="0" applyNumberFormat="1" applyFont="1"/>
    <xf numFmtId="1" fontId="19" fillId="0" borderId="0" xfId="0" applyNumberFormat="1" applyFont="1"/>
    <xf numFmtId="2" fontId="18" fillId="0" borderId="0" xfId="0" applyNumberFormat="1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3" fontId="1" fillId="0" borderId="0" xfId="921" applyFont="1" applyFill="1" applyAlignment="1">
      <alignment horizontal="center"/>
    </xf>
    <xf numFmtId="43" fontId="7" fillId="3" borderId="0" xfId="921" applyFont="1" applyFill="1"/>
    <xf numFmtId="43" fontId="7" fillId="0" borderId="0" xfId="921" applyFont="1" applyFill="1"/>
    <xf numFmtId="2" fontId="21" fillId="0" borderId="0" xfId="0" applyNumberFormat="1" applyFont="1" applyAlignment="1">
      <alignment horizontal="left"/>
    </xf>
    <xf numFmtId="43" fontId="7" fillId="9" borderId="0" xfId="921" applyFont="1" applyFill="1"/>
    <xf numFmtId="43" fontId="7" fillId="8" borderId="0" xfId="921" applyFont="1" applyFill="1"/>
    <xf numFmtId="1" fontId="7" fillId="2" borderId="0" xfId="0" applyNumberFormat="1" applyFont="1" applyFill="1"/>
    <xf numFmtId="1" fontId="7" fillId="6" borderId="0" xfId="0" applyNumberFormat="1" applyFont="1" applyFill="1"/>
    <xf numFmtId="43" fontId="7" fillId="2" borderId="0" xfId="921" applyFont="1" applyFill="1"/>
    <xf numFmtId="0" fontId="22" fillId="0" borderId="0" xfId="0" applyFont="1"/>
    <xf numFmtId="43" fontId="7" fillId="4" borderId="0" xfId="921" applyFont="1" applyFill="1"/>
    <xf numFmtId="0" fontId="7" fillId="3" borderId="0" xfId="0" applyFont="1" applyFill="1"/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7" fillId="4" borderId="0" xfId="0" applyNumberFormat="1" applyFont="1" applyFill="1"/>
    <xf numFmtId="0" fontId="23" fillId="0" borderId="0" xfId="0" applyFont="1"/>
    <xf numFmtId="43" fontId="7" fillId="0" borderId="0" xfId="0" applyNumberFormat="1" applyFont="1"/>
    <xf numFmtId="8" fontId="7" fillId="0" borderId="0" xfId="0" applyNumberFormat="1" applyFont="1"/>
    <xf numFmtId="0" fontId="7" fillId="3" borderId="0" xfId="0" applyFont="1" applyFill="1" applyAlignment="1">
      <alignment horizontal="center"/>
    </xf>
    <xf numFmtId="8" fontId="7" fillId="3" borderId="0" xfId="0" applyNumberFormat="1" applyFont="1" applyFill="1"/>
    <xf numFmtId="1" fontId="7" fillId="5" borderId="0" xfId="0" applyNumberFormat="1" applyFont="1" applyFill="1"/>
    <xf numFmtId="1" fontId="7" fillId="7" borderId="0" xfId="0" applyNumberFormat="1" applyFont="1" applyFill="1"/>
    <xf numFmtId="43" fontId="7" fillId="0" borderId="1" xfId="921" applyFont="1" applyFill="1" applyBorder="1"/>
    <xf numFmtId="16" fontId="10" fillId="0" borderId="0" xfId="0" applyNumberFormat="1" applyFont="1"/>
    <xf numFmtId="43" fontId="7" fillId="0" borderId="5" xfId="921" applyFont="1" applyFill="1" applyBorder="1"/>
    <xf numFmtId="43" fontId="6" fillId="0" borderId="0" xfId="921" applyFont="1" applyAlignment="1">
      <alignment horizontal="center"/>
    </xf>
    <xf numFmtId="43" fontId="8" fillId="0" borderId="0" xfId="921" applyFont="1" applyAlignment="1">
      <alignment horizontal="center"/>
    </xf>
    <xf numFmtId="43" fontId="6" fillId="0" borderId="0" xfId="921" applyFont="1"/>
    <xf numFmtId="43" fontId="6" fillId="0" borderId="0" xfId="921" applyFont="1" applyBorder="1"/>
    <xf numFmtId="43" fontId="8" fillId="0" borderId="0" xfId="921" applyFont="1"/>
    <xf numFmtId="43" fontId="6" fillId="0" borderId="0" xfId="921" applyFont="1" applyFill="1"/>
    <xf numFmtId="43" fontId="6" fillId="0" borderId="3" xfId="921" applyFont="1" applyBorder="1"/>
    <xf numFmtId="43" fontId="8" fillId="0" borderId="3" xfId="921" applyFont="1" applyBorder="1"/>
    <xf numFmtId="2" fontId="1" fillId="0" borderId="0" xfId="0" applyNumberFormat="1" applyFont="1"/>
    <xf numFmtId="43" fontId="1" fillId="0" borderId="0" xfId="921" applyFont="1" applyFill="1"/>
    <xf numFmtId="0" fontId="21" fillId="0" borderId="0" xfId="0" applyFont="1"/>
    <xf numFmtId="2" fontId="21" fillId="0" borderId="0" xfId="0" applyNumberFormat="1" applyFont="1"/>
    <xf numFmtId="43" fontId="1" fillId="0" borderId="0" xfId="921" applyFont="1" applyFill="1" applyAlignment="1">
      <alignment horizontal="right"/>
    </xf>
    <xf numFmtId="2" fontId="24" fillId="0" borderId="4" xfId="0" applyNumberFormat="1" applyFont="1" applyBorder="1"/>
    <xf numFmtId="2" fontId="24" fillId="0" borderId="0" xfId="0" applyNumberFormat="1" applyFont="1"/>
    <xf numFmtId="43" fontId="24" fillId="0" borderId="0" xfId="921" applyFont="1"/>
    <xf numFmtId="43" fontId="25" fillId="0" borderId="0" xfId="921" applyFont="1"/>
    <xf numFmtId="43" fontId="24" fillId="0" borderId="4" xfId="921" applyFont="1" applyBorder="1"/>
    <xf numFmtId="43" fontId="24" fillId="0" borderId="0" xfId="921" applyFont="1" applyFill="1"/>
    <xf numFmtId="2" fontId="26" fillId="0" borderId="0" xfId="0" applyNumberFormat="1" applyFont="1"/>
    <xf numFmtId="43" fontId="26" fillId="0" borderId="0" xfId="921" applyFont="1"/>
    <xf numFmtId="43" fontId="26" fillId="0" borderId="0" xfId="921" applyFont="1" applyFill="1"/>
    <xf numFmtId="43" fontId="26" fillId="0" borderId="0" xfId="921" applyFont="1" applyBorder="1"/>
    <xf numFmtId="43" fontId="27" fillId="0" borderId="0" xfId="921" applyFont="1"/>
    <xf numFmtId="43" fontId="24" fillId="0" borderId="0" xfId="921" applyFont="1" applyBorder="1"/>
    <xf numFmtId="43" fontId="25" fillId="0" borderId="0" xfId="921" applyFont="1" applyBorder="1"/>
    <xf numFmtId="43" fontId="6" fillId="0" borderId="0" xfId="921" applyFont="1" applyFill="1" applyBorder="1"/>
    <xf numFmtId="2" fontId="6" fillId="0" borderId="6" xfId="0" applyNumberFormat="1" applyFont="1" applyBorder="1"/>
    <xf numFmtId="2" fontId="6" fillId="0" borderId="7" xfId="0" applyNumberFormat="1" applyFont="1" applyBorder="1"/>
    <xf numFmtId="2" fontId="6" fillId="0" borderId="8" xfId="0" applyNumberFormat="1" applyFont="1" applyBorder="1"/>
    <xf numFmtId="2" fontId="6" fillId="0" borderId="9" xfId="0" applyNumberFormat="1" applyFont="1" applyBorder="1"/>
    <xf numFmtId="2" fontId="24" fillId="0" borderId="10" xfId="0" applyNumberFormat="1" applyFont="1" applyBorder="1"/>
    <xf numFmtId="2" fontId="24" fillId="0" borderId="11" xfId="0" applyNumberFormat="1" applyFont="1" applyBorder="1"/>
    <xf numFmtId="43" fontId="2" fillId="0" borderId="0" xfId="921" applyFont="1"/>
    <xf numFmtId="43" fontId="5" fillId="0" borderId="0" xfId="921" applyFont="1"/>
    <xf numFmtId="43" fontId="0" fillId="0" borderId="0" xfId="921" applyFont="1"/>
    <xf numFmtId="43" fontId="3" fillId="0" borderId="0" xfId="921" applyFont="1" applyAlignment="1">
      <alignment horizontal="center"/>
    </xf>
    <xf numFmtId="43" fontId="4" fillId="0" borderId="0" xfId="921" applyFont="1" applyBorder="1"/>
    <xf numFmtId="43" fontId="5" fillId="0" borderId="0" xfId="921" applyFont="1" applyBorder="1"/>
    <xf numFmtId="49" fontId="7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1" fontId="7" fillId="10" borderId="0" xfId="0" applyNumberFormat="1" applyFont="1" applyFill="1" applyAlignment="1">
      <alignment horizontal="center"/>
    </xf>
    <xf numFmtId="49" fontId="7" fillId="10" borderId="0" xfId="0" applyNumberFormat="1" applyFont="1" applyFill="1" applyAlignment="1">
      <alignment horizontal="left"/>
    </xf>
    <xf numFmtId="2" fontId="1" fillId="10" borderId="0" xfId="0" applyNumberFormat="1" applyFont="1" applyFill="1" applyAlignment="1">
      <alignment horizontal="center"/>
    </xf>
    <xf numFmtId="2" fontId="7" fillId="10" borderId="0" xfId="0" applyNumberFormat="1" applyFont="1" applyFill="1"/>
    <xf numFmtId="2" fontId="1" fillId="10" borderId="0" xfId="0" applyNumberFormat="1" applyFont="1" applyFill="1"/>
    <xf numFmtId="0" fontId="7" fillId="10" borderId="0" xfId="0" applyFont="1" applyFill="1"/>
    <xf numFmtId="0" fontId="7" fillId="10" borderId="0" xfId="0" applyFont="1" applyFill="1" applyAlignment="1">
      <alignment horizontal="left"/>
    </xf>
    <xf numFmtId="2" fontId="6" fillId="10" borderId="0" xfId="0" applyNumberFormat="1" applyFont="1" applyFill="1"/>
    <xf numFmtId="1" fontId="7" fillId="10" borderId="0" xfId="0" applyNumberFormat="1" applyFont="1" applyFill="1"/>
    <xf numFmtId="43" fontId="25" fillId="0" borderId="0" xfId="921" applyFont="1" applyFill="1"/>
    <xf numFmtId="43" fontId="24" fillId="0" borderId="0" xfId="921" applyFont="1" applyFill="1" applyBorder="1"/>
    <xf numFmtId="1" fontId="0" fillId="3" borderId="0" xfId="0" applyNumberFormat="1" applyFill="1"/>
    <xf numFmtId="1" fontId="0" fillId="2" borderId="0" xfId="0" applyNumberFormat="1" applyFill="1"/>
    <xf numFmtId="43" fontId="10" fillId="0" borderId="0" xfId="0" applyNumberFormat="1" applyFont="1"/>
    <xf numFmtId="43" fontId="0" fillId="0" borderId="0" xfId="921" quotePrefix="1" applyFont="1" applyFill="1"/>
    <xf numFmtId="2" fontId="1" fillId="3" borderId="0" xfId="0" applyNumberFormat="1" applyFont="1" applyFill="1" applyAlignment="1">
      <alignment horizontal="center"/>
    </xf>
    <xf numFmtId="43" fontId="0" fillId="0" borderId="0" xfId="0" applyNumberFormat="1"/>
    <xf numFmtId="43" fontId="0" fillId="0" borderId="5" xfId="0" applyNumberFormat="1" applyBorder="1"/>
    <xf numFmtId="49" fontId="0" fillId="7" borderId="0" xfId="0" applyNumberFormat="1" applyFill="1" applyAlignment="1">
      <alignment horizontal="center"/>
    </xf>
    <xf numFmtId="2" fontId="0" fillId="3" borderId="0" xfId="0" applyNumberFormat="1" applyFill="1"/>
    <xf numFmtId="2" fontId="0" fillId="7" borderId="0" xfId="0" applyNumberFormat="1" applyFill="1"/>
    <xf numFmtId="0" fontId="0" fillId="7" borderId="0" xfId="0" applyFill="1"/>
    <xf numFmtId="49" fontId="0" fillId="10" borderId="0" xfId="0" applyNumberFormat="1" applyFill="1" applyAlignment="1">
      <alignment horizontal="center"/>
    </xf>
    <xf numFmtId="2" fontId="0" fillId="10" borderId="0" xfId="0" applyNumberFormat="1" applyFill="1"/>
    <xf numFmtId="2" fontId="0" fillId="11" borderId="0" xfId="0" applyNumberFormat="1" applyFill="1"/>
    <xf numFmtId="2" fontId="22" fillId="0" borderId="0" xfId="0" applyNumberFormat="1" applyFont="1"/>
    <xf numFmtId="14" fontId="11" fillId="0" borderId="0" xfId="0" quotePrefix="1" applyNumberFormat="1" applyFont="1"/>
    <xf numFmtId="0" fontId="11" fillId="0" borderId="0" xfId="0" quotePrefix="1" applyFont="1"/>
    <xf numFmtId="49" fontId="0" fillId="0" borderId="0" xfId="0" applyNumberFormat="1" applyAlignment="1">
      <alignment horizontal="left"/>
    </xf>
    <xf numFmtId="0" fontId="28" fillId="0" borderId="0" xfId="0" applyFont="1"/>
    <xf numFmtId="1" fontId="29" fillId="0" borderId="0" xfId="0" applyNumberFormat="1" applyFont="1"/>
    <xf numFmtId="1" fontId="30" fillId="0" borderId="0" xfId="0" applyNumberFormat="1" applyFont="1" applyAlignment="1">
      <alignment horizontal="center"/>
    </xf>
    <xf numFmtId="1" fontId="31" fillId="0" borderId="0" xfId="0" applyNumberFormat="1" applyFont="1"/>
    <xf numFmtId="1" fontId="32" fillId="0" borderId="0" xfId="0" applyNumberFormat="1" applyFont="1" applyAlignment="1">
      <alignment horizontal="center"/>
    </xf>
    <xf numFmtId="1" fontId="28" fillId="0" borderId="0" xfId="0" applyNumberFormat="1" applyFont="1"/>
    <xf numFmtId="43" fontId="29" fillId="0" borderId="0" xfId="921" applyFont="1"/>
    <xf numFmtId="1" fontId="33" fillId="0" borderId="0" xfId="0" applyNumberFormat="1" applyFont="1"/>
    <xf numFmtId="1" fontId="29" fillId="0" borderId="0" xfId="0" applyNumberFormat="1" applyFont="1" applyAlignment="1">
      <alignment horizontal="center"/>
    </xf>
    <xf numFmtId="0" fontId="30" fillId="0" borderId="2" xfId="921" applyNumberFormat="1" applyFont="1" applyBorder="1" applyAlignment="1">
      <alignment horizontal="center"/>
    </xf>
    <xf numFmtId="1" fontId="30" fillId="0" borderId="2" xfId="0" applyNumberFormat="1" applyFont="1" applyBorder="1"/>
    <xf numFmtId="43" fontId="30" fillId="0" borderId="0" xfId="921" applyFont="1" applyAlignment="1">
      <alignment horizontal="center"/>
    </xf>
    <xf numFmtId="1" fontId="30" fillId="0" borderId="0" xfId="0" applyNumberFormat="1" applyFont="1"/>
    <xf numFmtId="2" fontId="29" fillId="0" borderId="0" xfId="0" applyNumberFormat="1" applyFont="1"/>
    <xf numFmtId="43" fontId="29" fillId="0" borderId="0" xfId="921" applyFont="1" applyFill="1"/>
    <xf numFmtId="2" fontId="32" fillId="0" borderId="0" xfId="0" applyNumberFormat="1" applyFont="1"/>
    <xf numFmtId="43" fontId="29" fillId="0" borderId="2" xfId="921" applyFont="1" applyBorder="1"/>
    <xf numFmtId="43" fontId="29" fillId="0" borderId="3" xfId="921" applyFont="1" applyBorder="1"/>
    <xf numFmtId="2" fontId="28" fillId="0" borderId="0" xfId="0" applyNumberFormat="1" applyFont="1"/>
    <xf numFmtId="43" fontId="29" fillId="0" borderId="0" xfId="921" applyFont="1" applyBorder="1"/>
    <xf numFmtId="43" fontId="29" fillId="0" borderId="1" xfId="921" applyFont="1" applyBorder="1"/>
    <xf numFmtId="0" fontId="29" fillId="0" borderId="0" xfId="0" applyFont="1"/>
    <xf numFmtId="1" fontId="36" fillId="0" borderId="0" xfId="0" applyNumberFormat="1" applyFont="1"/>
    <xf numFmtId="2" fontId="32" fillId="0" borderId="0" xfId="0" applyNumberFormat="1" applyFont="1" applyAlignment="1">
      <alignment horizontal="center"/>
    </xf>
    <xf numFmtId="43" fontId="29" fillId="0" borderId="0" xfId="921" applyFont="1" applyFill="1" applyBorder="1"/>
    <xf numFmtId="43" fontId="29" fillId="0" borderId="4" xfId="921" applyFont="1" applyBorder="1"/>
    <xf numFmtId="1" fontId="35" fillId="0" borderId="0" xfId="0" applyNumberFormat="1" applyFont="1"/>
    <xf numFmtId="43" fontId="28" fillId="0" borderId="0" xfId="921" applyFont="1"/>
    <xf numFmtId="1" fontId="37" fillId="0" borderId="0" xfId="0" applyNumberFormat="1" applyFont="1"/>
    <xf numFmtId="2" fontId="38" fillId="0" borderId="0" xfId="0" applyNumberFormat="1" applyFont="1"/>
    <xf numFmtId="1" fontId="0" fillId="3" borderId="0" xfId="0" quotePrefix="1" applyNumberFormat="1" applyFill="1"/>
    <xf numFmtId="2" fontId="11" fillId="3" borderId="0" xfId="0" applyNumberFormat="1" applyFont="1" applyFill="1"/>
    <xf numFmtId="43" fontId="0" fillId="3" borderId="0" xfId="0" applyNumberFormat="1" applyFill="1"/>
    <xf numFmtId="43" fontId="0" fillId="3" borderId="0" xfId="921" applyFont="1" applyFill="1"/>
    <xf numFmtId="2" fontId="10" fillId="3" borderId="0" xfId="0" applyNumberFormat="1" applyFont="1" applyFill="1"/>
    <xf numFmtId="43" fontId="7" fillId="3" borderId="1" xfId="921" applyFont="1" applyFill="1" applyBorder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43" fontId="1" fillId="0" borderId="0" xfId="0" applyNumberFormat="1" applyFont="1" applyAlignment="1">
      <alignment horizontal="center"/>
    </xf>
    <xf numFmtId="49" fontId="0" fillId="5" borderId="0" xfId="0" applyNumberFormat="1" applyFill="1" applyAlignment="1">
      <alignment horizontal="left"/>
    </xf>
    <xf numFmtId="2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0" fillId="5" borderId="0" xfId="0" applyFill="1"/>
    <xf numFmtId="2" fontId="0" fillId="0" borderId="0" xfId="0" applyNumberFormat="1" applyAlignment="1">
      <alignment horizontal="center"/>
    </xf>
    <xf numFmtId="1" fontId="1" fillId="12" borderId="0" xfId="0" applyNumberFormat="1" applyFont="1" applyFill="1" applyAlignment="1">
      <alignment horizontal="center"/>
    </xf>
    <xf numFmtId="1" fontId="1" fillId="13" borderId="0" xfId="0" applyNumberFormat="1" applyFont="1" applyFill="1" applyAlignment="1">
      <alignment horizontal="center"/>
    </xf>
    <xf numFmtId="43" fontId="1" fillId="0" borderId="0" xfId="0" applyNumberFormat="1" applyFont="1" applyAlignment="1">
      <alignment horizontal="right"/>
    </xf>
    <xf numFmtId="43" fontId="1" fillId="0" borderId="0" xfId="0" applyNumberFormat="1" applyFont="1"/>
    <xf numFmtId="49" fontId="0" fillId="11" borderId="0" xfId="0" applyNumberFormat="1" applyFill="1" applyAlignment="1">
      <alignment horizontal="center"/>
    </xf>
    <xf numFmtId="49" fontId="1" fillId="11" borderId="0" xfId="0" applyNumberFormat="1" applyFont="1" applyFill="1" applyAlignment="1">
      <alignment horizontal="center"/>
    </xf>
    <xf numFmtId="2" fontId="1" fillId="11" borderId="0" xfId="0" applyNumberFormat="1" applyFont="1" applyFill="1"/>
    <xf numFmtId="43" fontId="0" fillId="12" borderId="0" xfId="0" applyNumberFormat="1" applyFill="1"/>
    <xf numFmtId="1" fontId="0" fillId="13" borderId="0" xfId="0" applyNumberFormat="1" applyFill="1"/>
    <xf numFmtId="43" fontId="0" fillId="13" borderId="0" xfId="0" applyNumberFormat="1" applyFill="1"/>
    <xf numFmtId="1" fontId="0" fillId="5" borderId="0" xfId="0" applyNumberFormat="1" applyFill="1"/>
    <xf numFmtId="0" fontId="0" fillId="11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4" fontId="11" fillId="0" borderId="0" xfId="0" applyNumberFormat="1" applyFont="1"/>
    <xf numFmtId="1" fontId="0" fillId="12" borderId="0" xfId="0" applyNumberFormat="1" applyFill="1"/>
    <xf numFmtId="2" fontId="0" fillId="13" borderId="0" xfId="0" applyNumberFormat="1" applyFill="1"/>
    <xf numFmtId="0" fontId="0" fillId="11" borderId="0" xfId="0" applyFill="1"/>
    <xf numFmtId="43" fontId="0" fillId="5" borderId="0" xfId="0" applyNumberFormat="1" applyFill="1"/>
    <xf numFmtId="2" fontId="0" fillId="11" borderId="0" xfId="0" applyNumberFormat="1" applyFill="1" applyAlignment="1">
      <alignment horizontal="center"/>
    </xf>
    <xf numFmtId="2" fontId="6" fillId="11" borderId="0" xfId="0" applyNumberFormat="1" applyFont="1" applyFill="1"/>
    <xf numFmtId="1" fontId="0" fillId="0" borderId="0" xfId="0" applyNumberFormat="1" applyAlignment="1">
      <alignment horizontal="center"/>
    </xf>
    <xf numFmtId="1" fontId="0" fillId="11" borderId="0" xfId="0" applyNumberFormat="1" applyFill="1" applyAlignment="1">
      <alignment horizontal="center"/>
    </xf>
    <xf numFmtId="8" fontId="0" fillId="0" borderId="0" xfId="0" applyNumberFormat="1"/>
    <xf numFmtId="49" fontId="1" fillId="5" borderId="0" xfId="0" applyNumberFormat="1" applyFont="1" applyFill="1" applyAlignment="1">
      <alignment horizontal="center"/>
    </xf>
    <xf numFmtId="1" fontId="0" fillId="14" borderId="0" xfId="0" applyNumberFormat="1" applyFill="1"/>
    <xf numFmtId="0" fontId="1" fillId="5" borderId="0" xfId="0" applyFont="1" applyFill="1" applyAlignment="1">
      <alignment horizontal="center"/>
    </xf>
    <xf numFmtId="6" fontId="7" fillId="0" borderId="0" xfId="0" applyNumberFormat="1" applyFont="1"/>
    <xf numFmtId="1" fontId="0" fillId="7" borderId="0" xfId="0" applyNumberFormat="1" applyFill="1"/>
    <xf numFmtId="6" fontId="7" fillId="3" borderId="0" xfId="921" applyNumberFormat="1" applyFont="1" applyFill="1"/>
    <xf numFmtId="2" fontId="10" fillId="6" borderId="0" xfId="0" applyNumberFormat="1" applyFont="1" applyFill="1"/>
    <xf numFmtId="0" fontId="39" fillId="0" borderId="0" xfId="0" applyFont="1" applyAlignment="1">
      <alignment horizontal="left"/>
    </xf>
    <xf numFmtId="164" fontId="39" fillId="0" borderId="0" xfId="0" applyNumberFormat="1" applyFont="1"/>
    <xf numFmtId="0" fontId="39" fillId="0" borderId="0" xfId="0" applyFont="1"/>
    <xf numFmtId="165" fontId="39" fillId="0" borderId="0" xfId="0" applyNumberFormat="1" applyFont="1" applyAlignment="1">
      <alignment horizontal="center" vertical="center"/>
    </xf>
    <xf numFmtId="44" fontId="7" fillId="3" borderId="0" xfId="921" applyNumberFormat="1" applyFont="1" applyFill="1"/>
    <xf numFmtId="2" fontId="39" fillId="2" borderId="0" xfId="0" applyNumberFormat="1" applyFont="1" applyFill="1" applyAlignment="1">
      <alignment horizontal="right"/>
    </xf>
    <xf numFmtId="2" fontId="39" fillId="0" borderId="0" xfId="0" applyNumberFormat="1" applyFont="1" applyAlignment="1">
      <alignment horizontal="right"/>
    </xf>
    <xf numFmtId="2" fontId="7" fillId="3" borderId="0" xfId="921" applyNumberFormat="1" applyFont="1" applyFill="1" applyAlignment="1">
      <alignment horizontal="right"/>
    </xf>
    <xf numFmtId="43" fontId="7" fillId="3" borderId="0" xfId="921" applyFont="1" applyFill="1" applyAlignment="1">
      <alignment horizontal="right"/>
    </xf>
    <xf numFmtId="43" fontId="0" fillId="0" borderId="0" xfId="0" applyNumberFormat="1" applyAlignment="1">
      <alignment horizontal="right"/>
    </xf>
    <xf numFmtId="43" fontId="7" fillId="2" borderId="0" xfId="921" applyFont="1" applyFill="1" applyAlignment="1">
      <alignment horizontal="right"/>
    </xf>
    <xf numFmtId="0" fontId="39" fillId="0" borderId="0" xfId="0" applyFont="1" applyAlignment="1">
      <alignment horizontal="right"/>
    </xf>
    <xf numFmtId="2" fontId="39" fillId="2" borderId="0" xfId="0" applyNumberFormat="1" applyFont="1" applyFill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2" fontId="7" fillId="3" borderId="0" xfId="921" applyNumberFormat="1" applyFont="1" applyFill="1"/>
    <xf numFmtId="2" fontId="39" fillId="0" borderId="0" xfId="0" applyNumberFormat="1" applyFont="1" applyAlignment="1">
      <alignment vertical="center"/>
    </xf>
    <xf numFmtId="165" fontId="39" fillId="0" borderId="0" xfId="0" applyNumberFormat="1" applyFont="1" applyAlignment="1">
      <alignment vertical="center"/>
    </xf>
    <xf numFmtId="43" fontId="7" fillId="3" borderId="0" xfId="921" applyFont="1" applyFill="1" applyAlignment="1"/>
    <xf numFmtId="164" fontId="39" fillId="0" borderId="0" xfId="0" quotePrefix="1" applyNumberFormat="1" applyFont="1"/>
    <xf numFmtId="2" fontId="0" fillId="0" borderId="0" xfId="0" applyNumberFormat="1" applyAlignment="1">
      <alignment horizontal="right"/>
    </xf>
    <xf numFmtId="2" fontId="39" fillId="2" borderId="0" xfId="0" applyNumberFormat="1" applyFont="1" applyFill="1" applyAlignment="1">
      <alignment vertical="center"/>
    </xf>
    <xf numFmtId="43" fontId="7" fillId="2" borderId="0" xfId="921" applyFont="1" applyFill="1" applyAlignment="1"/>
    <xf numFmtId="2" fontId="39" fillId="0" borderId="0" xfId="0" applyNumberFormat="1" applyFont="1" applyAlignment="1">
      <alignment horizontal="right" vertical="center"/>
    </xf>
    <xf numFmtId="2" fontId="39" fillId="2" borderId="0" xfId="0" applyNumberFormat="1" applyFont="1" applyFill="1" applyAlignment="1">
      <alignment horizontal="right" vertical="center"/>
    </xf>
    <xf numFmtId="2" fontId="0" fillId="15" borderId="0" xfId="0" applyNumberFormat="1" applyFill="1"/>
    <xf numFmtId="2" fontId="7" fillId="15" borderId="0" xfId="0" applyNumberFormat="1" applyFont="1" applyFill="1"/>
    <xf numFmtId="0" fontId="39" fillId="2" borderId="0" xfId="0" applyFont="1" applyFill="1"/>
    <xf numFmtId="0" fontId="39" fillId="3" borderId="0" xfId="0" applyFont="1" applyFill="1"/>
    <xf numFmtId="43" fontId="7" fillId="16" borderId="0" xfId="921" applyFont="1" applyFill="1"/>
    <xf numFmtId="1" fontId="0" fillId="16" borderId="0" xfId="0" applyNumberFormat="1" applyFill="1"/>
    <xf numFmtId="0" fontId="39" fillId="16" borderId="0" xfId="0" applyFont="1" applyFill="1"/>
    <xf numFmtId="2" fontId="0" fillId="0" borderId="0" xfId="0" quotePrefix="1" applyNumberFormat="1"/>
    <xf numFmtId="164" fontId="40" fillId="0" borderId="0" xfId="0" applyNumberFormat="1" applyFont="1"/>
    <xf numFmtId="0" fontId="39" fillId="4" borderId="0" xfId="0" applyFont="1" applyFill="1"/>
    <xf numFmtId="1" fontId="41" fillId="0" borderId="0" xfId="0" applyNumberFormat="1" applyFont="1"/>
    <xf numFmtId="1" fontId="42" fillId="0" borderId="4" xfId="0" applyNumberFormat="1" applyFont="1" applyBorder="1"/>
    <xf numFmtId="1" fontId="42" fillId="0" borderId="0" xfId="0" applyNumberFormat="1" applyFont="1"/>
    <xf numFmtId="1" fontId="42" fillId="0" borderId="1" xfId="0" applyNumberFormat="1" applyFont="1" applyBorder="1"/>
    <xf numFmtId="1" fontId="41" fillId="0" borderId="4" xfId="0" applyNumberFormat="1" applyFont="1" applyBorder="1"/>
    <xf numFmtId="0" fontId="0" fillId="0" borderId="0" xfId="0" quotePrefix="1"/>
    <xf numFmtId="43" fontId="7" fillId="17" borderId="0" xfId="921" applyFont="1" applyFill="1"/>
    <xf numFmtId="43" fontId="0" fillId="0" borderId="0" xfId="921" applyFont="1" applyFill="1"/>
    <xf numFmtId="49" fontId="7" fillId="3" borderId="0" xfId="0" applyNumberFormat="1" applyFont="1" applyFill="1" applyAlignment="1">
      <alignment horizontal="left"/>
    </xf>
    <xf numFmtId="43" fontId="1" fillId="0" borderId="5" xfId="921" applyFont="1" applyFill="1" applyBorder="1"/>
    <xf numFmtId="49" fontId="0" fillId="3" borderId="0" xfId="0" applyNumberForma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166" fontId="7" fillId="0" borderId="0" xfId="921" applyNumberFormat="1" applyFont="1" applyFill="1"/>
    <xf numFmtId="6" fontId="0" fillId="0" borderId="0" xfId="0" applyNumberFormat="1"/>
    <xf numFmtId="14" fontId="0" fillId="0" borderId="0" xfId="0" applyNumberFormat="1"/>
    <xf numFmtId="43" fontId="1" fillId="0" borderId="0" xfId="921" applyFont="1" applyFill="1" applyBorder="1"/>
    <xf numFmtId="164" fontId="39" fillId="3" borderId="0" xfId="0" applyNumberFormat="1" applyFont="1" applyFill="1"/>
    <xf numFmtId="165" fontId="39" fillId="3" borderId="0" xfId="0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right"/>
    </xf>
    <xf numFmtId="2" fontId="39" fillId="3" borderId="0" xfId="0" applyNumberFormat="1" applyFont="1" applyFill="1" applyAlignment="1">
      <alignment horizontal="right"/>
    </xf>
    <xf numFmtId="2" fontId="39" fillId="3" borderId="0" xfId="0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left"/>
    </xf>
    <xf numFmtId="2" fontId="0" fillId="3" borderId="0" xfId="0" applyNumberFormat="1" applyFill="1" applyAlignment="1">
      <alignment horizontal="right"/>
    </xf>
    <xf numFmtId="2" fontId="39" fillId="3" borderId="0" xfId="0" applyNumberFormat="1" applyFont="1" applyFill="1" applyAlignment="1">
      <alignment vertical="center"/>
    </xf>
    <xf numFmtId="2" fontId="39" fillId="3" borderId="0" xfId="0" applyNumberFormat="1" applyFont="1" applyFill="1" applyAlignment="1">
      <alignment horizontal="right" vertical="center"/>
    </xf>
    <xf numFmtId="164" fontId="39" fillId="3" borderId="0" xfId="0" quotePrefix="1" applyNumberFormat="1" applyFont="1" applyFill="1"/>
    <xf numFmtId="17" fontId="7" fillId="0" borderId="0" xfId="921" applyNumberFormat="1" applyFont="1" applyFill="1"/>
    <xf numFmtId="43" fontId="0" fillId="2" borderId="0" xfId="0" applyNumberFormat="1" applyFill="1"/>
    <xf numFmtId="43" fontId="0" fillId="4" borderId="0" xfId="0" applyNumberFormat="1" applyFill="1"/>
    <xf numFmtId="17" fontId="0" fillId="0" borderId="0" xfId="921" applyNumberFormat="1" applyFont="1" applyFill="1"/>
    <xf numFmtId="43" fontId="7" fillId="18" borderId="0" xfId="921" applyFont="1" applyFill="1"/>
    <xf numFmtId="2" fontId="0" fillId="18" borderId="0" xfId="0" applyNumberFormat="1" applyFill="1"/>
    <xf numFmtId="167" fontId="0" fillId="0" borderId="0" xfId="0" applyNumberFormat="1"/>
    <xf numFmtId="43" fontId="43" fillId="0" borderId="0" xfId="921" applyFont="1" applyFill="1"/>
    <xf numFmtId="14" fontId="0" fillId="0" borderId="0" xfId="0" quotePrefix="1" applyNumberFormat="1"/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39" fillId="2" borderId="0" xfId="0" applyFont="1" applyFill="1" applyAlignment="1">
      <alignment horizontal="left"/>
    </xf>
    <xf numFmtId="17" fontId="7" fillId="3" borderId="0" xfId="921" applyNumberFormat="1" applyFont="1" applyFill="1"/>
    <xf numFmtId="2" fontId="0" fillId="19" borderId="0" xfId="0" applyNumberFormat="1" applyFill="1"/>
    <xf numFmtId="0" fontId="7" fillId="20" borderId="0" xfId="0" applyFont="1" applyFill="1"/>
    <xf numFmtId="1" fontId="0" fillId="5" borderId="0" xfId="0" applyNumberFormat="1" applyFill="1" applyAlignment="1">
      <alignment horizontal="center"/>
    </xf>
    <xf numFmtId="2" fontId="0" fillId="21" borderId="0" xfId="0" applyNumberFormat="1" applyFill="1"/>
    <xf numFmtId="0" fontId="0" fillId="21" borderId="0" xfId="0" applyFill="1"/>
    <xf numFmtId="0" fontId="1" fillId="5" borderId="0" xfId="0" applyFont="1" applyFill="1"/>
    <xf numFmtId="1" fontId="11" fillId="0" borderId="0" xfId="0" applyNumberFormat="1" applyFont="1"/>
    <xf numFmtId="1" fontId="44" fillId="0" borderId="0" xfId="0" applyNumberFormat="1" applyFont="1"/>
    <xf numFmtId="1" fontId="37" fillId="0" borderId="4" xfId="0" applyNumberFormat="1" applyFont="1" applyBorder="1"/>
    <xf numFmtId="1" fontId="45" fillId="0" borderId="4" xfId="0" applyNumberFormat="1" applyFont="1" applyBorder="1"/>
    <xf numFmtId="1" fontId="45" fillId="0" borderId="0" xfId="0" applyNumberFormat="1" applyFont="1"/>
    <xf numFmtId="1" fontId="45" fillId="0" borderId="1" xfId="0" applyNumberFormat="1" applyFont="1" applyBorder="1"/>
    <xf numFmtId="1" fontId="37" fillId="0" borderId="2" xfId="0" applyNumberFormat="1" applyFont="1" applyBorder="1"/>
    <xf numFmtId="49" fontId="17" fillId="0" borderId="0" xfId="0" applyNumberFormat="1" applyFont="1" applyAlignment="1">
      <alignment horizontal="left"/>
    </xf>
    <xf numFmtId="43" fontId="7" fillId="15" borderId="0" xfId="921" applyFont="1" applyFill="1"/>
    <xf numFmtId="0" fontId="10" fillId="15" borderId="0" xfId="0" applyFont="1" applyFill="1"/>
    <xf numFmtId="0" fontId="7" fillId="15" borderId="0" xfId="0" applyFont="1" applyFill="1"/>
    <xf numFmtId="1" fontId="7" fillId="22" borderId="0" xfId="0" applyNumberFormat="1" applyFont="1" applyFill="1"/>
    <xf numFmtId="17" fontId="0" fillId="0" borderId="0" xfId="0" applyNumberFormat="1"/>
    <xf numFmtId="49" fontId="17" fillId="5" borderId="0" xfId="0" applyNumberFormat="1" applyFont="1" applyFill="1" applyAlignment="1">
      <alignment horizontal="center"/>
    </xf>
    <xf numFmtId="1" fontId="47" fillId="0" borderId="0" xfId="0" applyNumberFormat="1" applyFont="1"/>
    <xf numFmtId="166" fontId="46" fillId="0" borderId="0" xfId="921" applyNumberFormat="1" applyFont="1"/>
    <xf numFmtId="166" fontId="46" fillId="0" borderId="0" xfId="0" applyNumberFormat="1" applyFont="1"/>
    <xf numFmtId="43" fontId="48" fillId="0" borderId="0" xfId="921" applyFont="1"/>
    <xf numFmtId="1" fontId="46" fillId="0" borderId="4" xfId="0" applyNumberFormat="1" applyFont="1" applyBorder="1"/>
    <xf numFmtId="1" fontId="46" fillId="0" borderId="0" xfId="0" applyNumberFormat="1" applyFont="1"/>
    <xf numFmtId="1" fontId="49" fillId="0" borderId="4" xfId="0" applyNumberFormat="1" applyFont="1" applyBorder="1"/>
    <xf numFmtId="1" fontId="49" fillId="0" borderId="1" xfId="0" applyNumberFormat="1" applyFont="1" applyBorder="1"/>
    <xf numFmtId="2" fontId="29" fillId="0" borderId="0" xfId="0" applyNumberFormat="1" applyFont="1" applyAlignment="1">
      <alignment horizontal="right"/>
    </xf>
    <xf numFmtId="43" fontId="29" fillId="0" borderId="0" xfId="921" applyFont="1" applyFill="1" applyAlignment="1">
      <alignment horizontal="right"/>
    </xf>
    <xf numFmtId="43" fontId="46" fillId="0" borderId="0" xfId="921" applyFont="1" applyAlignment="1">
      <alignment horizontal="left"/>
    </xf>
    <xf numFmtId="1" fontId="46" fillId="0" borderId="2" xfId="0" applyNumberFormat="1" applyFont="1" applyBorder="1" applyAlignment="1">
      <alignment horizontal="left"/>
    </xf>
    <xf numFmtId="1" fontId="34" fillId="0" borderId="0" xfId="0" applyNumberFormat="1" applyFont="1"/>
    <xf numFmtId="1" fontId="50" fillId="0" borderId="0" xfId="0" applyNumberFormat="1" applyFont="1"/>
    <xf numFmtId="43" fontId="7" fillId="23" borderId="0" xfId="921" applyFont="1" applyFill="1"/>
    <xf numFmtId="43" fontId="28" fillId="0" borderId="0" xfId="921" applyFont="1" applyBorder="1"/>
    <xf numFmtId="43" fontId="30" fillId="0" borderId="1" xfId="921" applyFont="1" applyBorder="1"/>
    <xf numFmtId="2" fontId="30" fillId="0" borderId="0" xfId="0" applyNumberFormat="1" applyFont="1"/>
    <xf numFmtId="43" fontId="34" fillId="0" borderId="1" xfId="921" applyFont="1" applyBorder="1"/>
    <xf numFmtId="2" fontId="0" fillId="2" borderId="0" xfId="0" applyNumberFormat="1" applyFill="1" applyAlignment="1">
      <alignment horizontal="right"/>
    </xf>
    <xf numFmtId="0" fontId="39" fillId="23" borderId="0" xfId="0" applyFont="1" applyFill="1"/>
    <xf numFmtId="168" fontId="1" fillId="0" borderId="0" xfId="921" applyNumberFormat="1" applyFont="1" applyFill="1"/>
    <xf numFmtId="14" fontId="39" fillId="3" borderId="0" xfId="0" applyNumberFormat="1" applyFont="1" applyFill="1" applyAlignment="1">
      <alignment horizontal="left"/>
    </xf>
    <xf numFmtId="16" fontId="39" fillId="3" borderId="0" xfId="0" applyNumberFormat="1" applyFont="1" applyFill="1" applyAlignment="1">
      <alignment horizontal="left"/>
    </xf>
    <xf numFmtId="43" fontId="34" fillId="0" borderId="0" xfId="921" applyFont="1" applyFill="1"/>
    <xf numFmtId="2" fontId="34" fillId="0" borderId="0" xfId="0" applyNumberFormat="1" applyFont="1"/>
    <xf numFmtId="43" fontId="51" fillId="0" borderId="0" xfId="921" applyFont="1" applyBorder="1"/>
    <xf numFmtId="43" fontId="51" fillId="0" borderId="2" xfId="921" quotePrefix="1" applyFont="1" applyBorder="1"/>
    <xf numFmtId="43" fontId="52" fillId="0" borderId="0" xfId="921" applyFont="1"/>
    <xf numFmtId="1" fontId="52" fillId="0" borderId="0" xfId="0" applyNumberFormat="1" applyFont="1"/>
    <xf numFmtId="1" fontId="51" fillId="0" borderId="4" xfId="0" applyNumberFormat="1" applyFont="1" applyBorder="1"/>
    <xf numFmtId="1" fontId="53" fillId="0" borderId="4" xfId="0" applyNumberFormat="1" applyFont="1" applyBorder="1"/>
    <xf numFmtId="1" fontId="53" fillId="0" borderId="1" xfId="0" applyNumberFormat="1" applyFont="1" applyBorder="1"/>
    <xf numFmtId="1" fontId="0" fillId="24" borderId="0" xfId="0" applyNumberFormat="1" applyFill="1"/>
    <xf numFmtId="164" fontId="39" fillId="6" borderId="0" xfId="0" applyNumberFormat="1" applyFont="1" applyFill="1"/>
    <xf numFmtId="16" fontId="1" fillId="0" borderId="0" xfId="0" applyNumberFormat="1" applyFont="1" applyAlignment="1">
      <alignment horizontal="center"/>
    </xf>
    <xf numFmtId="164" fontId="54" fillId="3" borderId="0" xfId="0" applyNumberFormat="1" applyFont="1" applyFill="1"/>
    <xf numFmtId="43" fontId="0" fillId="0" borderId="0" xfId="921" applyFont="1" applyBorder="1"/>
    <xf numFmtId="43" fontId="51" fillId="0" borderId="0" xfId="921" applyFont="1" applyBorder="1" applyAlignment="1">
      <alignment horizontal="center"/>
    </xf>
    <xf numFmtId="43" fontId="1" fillId="0" borderId="5" xfId="0" applyNumberFormat="1" applyFont="1" applyBorder="1"/>
    <xf numFmtId="2" fontId="0" fillId="5" borderId="0" xfId="0" applyNumberFormat="1" applyFill="1" applyAlignment="1">
      <alignment horizontal="center"/>
    </xf>
    <xf numFmtId="1" fontId="1" fillId="23" borderId="0" xfId="0" applyNumberFormat="1" applyFont="1" applyFill="1" applyAlignment="1">
      <alignment horizontal="center"/>
    </xf>
    <xf numFmtId="2" fontId="0" fillId="2" borderId="0" xfId="0" applyNumberFormat="1" applyFill="1"/>
    <xf numFmtId="0" fontId="0" fillId="13" borderId="0" xfId="0" applyFill="1" applyAlignment="1">
      <alignment horizontal="center"/>
    </xf>
    <xf numFmtId="17" fontId="4" fillId="0" borderId="0" xfId="921" applyNumberFormat="1" applyFont="1" applyBorder="1"/>
    <xf numFmtId="43" fontId="0" fillId="7" borderId="0" xfId="0" applyNumberFormat="1" applyFill="1"/>
    <xf numFmtId="1" fontId="0" fillId="13" borderId="0" xfId="0" applyNumberFormat="1" applyFill="1" applyAlignment="1">
      <alignment horizontal="center"/>
    </xf>
    <xf numFmtId="164" fontId="39" fillId="0" borderId="0" xfId="0" applyNumberFormat="1" applyFont="1" applyAlignment="1">
      <alignment horizontal="left"/>
    </xf>
    <xf numFmtId="0" fontId="39" fillId="13" borderId="0" xfId="0" applyFont="1" applyFill="1" applyAlignment="1">
      <alignment horizontal="left"/>
    </xf>
    <xf numFmtId="49" fontId="0" fillId="13" borderId="0" xfId="0" applyNumberFormat="1" applyFill="1" applyAlignment="1">
      <alignment horizontal="center"/>
    </xf>
    <xf numFmtId="2" fontId="29" fillId="0" borderId="4" xfId="0" applyNumberFormat="1" applyFont="1" applyBorder="1"/>
    <xf numFmtId="2" fontId="39" fillId="23" borderId="0" xfId="0" applyNumberFormat="1" applyFont="1" applyFill="1" applyAlignment="1">
      <alignment horizontal="center" vertical="center"/>
    </xf>
    <xf numFmtId="0" fontId="0" fillId="2" borderId="0" xfId="0" applyFill="1"/>
    <xf numFmtId="169" fontId="7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7" fillId="3" borderId="0" xfId="0" applyNumberFormat="1" applyFont="1" applyFill="1" applyAlignment="1">
      <alignment horizontal="center"/>
    </xf>
    <xf numFmtId="169" fontId="7" fillId="0" borderId="0" xfId="0" applyNumberFormat="1" applyFont="1"/>
    <xf numFmtId="169" fontId="1" fillId="0" borderId="0" xfId="0" applyNumberFormat="1" applyFont="1" applyAlignment="1">
      <alignment horizontal="left"/>
    </xf>
    <xf numFmtId="1" fontId="7" fillId="3" borderId="0" xfId="0" quotePrefix="1" applyNumberFormat="1" applyFont="1" applyFill="1"/>
    <xf numFmtId="170" fontId="29" fillId="0" borderId="0" xfId="921" applyNumberFormat="1" applyFont="1" applyFill="1"/>
    <xf numFmtId="170" fontId="29" fillId="0" borderId="0" xfId="0" applyNumberFormat="1" applyFont="1"/>
    <xf numFmtId="170" fontId="41" fillId="0" borderId="0" xfId="0" applyNumberFormat="1" applyFont="1"/>
    <xf numFmtId="170" fontId="52" fillId="0" borderId="0" xfId="921" applyNumberFormat="1" applyFont="1"/>
    <xf numFmtId="170" fontId="29" fillId="0" borderId="0" xfId="921" applyNumberFormat="1" applyFont="1"/>
    <xf numFmtId="170" fontId="52" fillId="0" borderId="0" xfId="0" applyNumberFormat="1" applyFont="1"/>
    <xf numFmtId="170" fontId="29" fillId="0" borderId="0" xfId="921" applyNumberFormat="1" applyFont="1" applyFill="1" applyAlignment="1">
      <alignment horizontal="right"/>
    </xf>
    <xf numFmtId="170" fontId="0" fillId="0" borderId="0" xfId="0" applyNumberFormat="1"/>
    <xf numFmtId="170" fontId="29" fillId="0" borderId="0" xfId="921" applyNumberFormat="1" applyFont="1" applyAlignment="1">
      <alignment horizontal="right"/>
    </xf>
    <xf numFmtId="170" fontId="50" fillId="0" borderId="0" xfId="0" applyNumberFormat="1" applyFont="1"/>
    <xf numFmtId="170" fontId="29" fillId="0" borderId="2" xfId="921" applyNumberFormat="1" applyFont="1" applyBorder="1"/>
    <xf numFmtId="170" fontId="29" fillId="0" borderId="3" xfId="921" applyNumberFormat="1" applyFont="1" applyBorder="1"/>
    <xf numFmtId="170" fontId="51" fillId="0" borderId="4" xfId="0" applyNumberFormat="1" applyFont="1" applyBorder="1"/>
    <xf numFmtId="170" fontId="28" fillId="0" borderId="0" xfId="0" applyNumberFormat="1" applyFont="1"/>
    <xf numFmtId="170" fontId="42" fillId="0" borderId="0" xfId="0" applyNumberFormat="1" applyFont="1"/>
    <xf numFmtId="170" fontId="53" fillId="0" borderId="4" xfId="0" applyNumberFormat="1" applyFont="1" applyBorder="1"/>
    <xf numFmtId="170" fontId="29" fillId="0" borderId="0" xfId="921" applyNumberFormat="1" applyFont="1" applyBorder="1"/>
    <xf numFmtId="170" fontId="29" fillId="0" borderId="1" xfId="921" applyNumberFormat="1" applyFont="1" applyBorder="1"/>
    <xf numFmtId="170" fontId="53" fillId="0" borderId="1" xfId="0" applyNumberFormat="1" applyFont="1" applyBorder="1"/>
    <xf numFmtId="170" fontId="29" fillId="0" borderId="4" xfId="921" applyNumberFormat="1" applyFont="1" applyBorder="1"/>
    <xf numFmtId="170" fontId="30" fillId="0" borderId="1" xfId="921" applyNumberFormat="1" applyFont="1" applyBorder="1"/>
    <xf numFmtId="170" fontId="30" fillId="0" borderId="0" xfId="0" applyNumberFormat="1" applyFont="1"/>
    <xf numFmtId="170" fontId="29" fillId="0" borderId="4" xfId="921" applyNumberFormat="1" applyFont="1" applyFill="1" applyBorder="1"/>
    <xf numFmtId="170" fontId="29" fillId="0" borderId="4" xfId="0" applyNumberFormat="1" applyFont="1" applyBorder="1"/>
    <xf numFmtId="170" fontId="28" fillId="0" borderId="0" xfId="921" applyNumberFormat="1" applyFont="1" applyBorder="1"/>
    <xf numFmtId="170" fontId="34" fillId="0" borderId="1" xfId="921" applyNumberFormat="1" applyFont="1" applyBorder="1"/>
    <xf numFmtId="170" fontId="34" fillId="0" borderId="0" xfId="0" applyNumberFormat="1" applyFont="1"/>
    <xf numFmtId="0" fontId="30" fillId="0" borderId="2" xfId="921" applyNumberFormat="1" applyFont="1" applyBorder="1" applyAlignment="1">
      <alignment horizontal="center" wrapText="1"/>
    </xf>
    <xf numFmtId="2" fontId="7" fillId="11" borderId="0" xfId="0" applyNumberFormat="1" applyFont="1" applyFill="1"/>
    <xf numFmtId="16" fontId="1" fillId="0" borderId="0" xfId="0" applyNumberFormat="1" applyFont="1" applyAlignment="1">
      <alignment horizontal="left"/>
    </xf>
    <xf numFmtId="171" fontId="39" fillId="3" borderId="0" xfId="0" applyNumberFormat="1" applyFont="1" applyFill="1" applyAlignment="1">
      <alignment horizontal="right" vertical="center"/>
    </xf>
    <xf numFmtId="171" fontId="55" fillId="3" borderId="0" xfId="0" applyNumberFormat="1" applyFont="1" applyFill="1" applyAlignment="1">
      <alignment horizontal="right" vertical="center"/>
    </xf>
    <xf numFmtId="14" fontId="7" fillId="0" borderId="0" xfId="921" applyNumberFormat="1" applyFont="1" applyFill="1"/>
    <xf numFmtId="171" fontId="39" fillId="0" borderId="0" xfId="0" applyNumberFormat="1" applyFont="1" applyAlignment="1">
      <alignment horizontal="right" vertical="center"/>
    </xf>
    <xf numFmtId="49" fontId="7" fillId="0" borderId="12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49" fontId="7" fillId="10" borderId="12" xfId="0" applyNumberFormat="1" applyFont="1" applyFill="1" applyBorder="1" applyAlignment="1">
      <alignment horizontal="center"/>
    </xf>
    <xf numFmtId="2" fontId="7" fillId="0" borderId="12" xfId="0" applyNumberFormat="1" applyFont="1" applyBorder="1"/>
    <xf numFmtId="2" fontId="7" fillId="11" borderId="12" xfId="0" applyNumberFormat="1" applyFont="1" applyFill="1" applyBorder="1"/>
    <xf numFmtId="0" fontId="39" fillId="3" borderId="12" xfId="0" applyFont="1" applyFill="1" applyBorder="1" applyAlignment="1">
      <alignment horizontal="left"/>
    </xf>
    <xf numFmtId="0" fontId="39" fillId="3" borderId="12" xfId="0" applyFont="1" applyFill="1" applyBorder="1"/>
    <xf numFmtId="164" fontId="39" fillId="3" borderId="12" xfId="0" applyNumberFormat="1" applyFont="1" applyFill="1" applyBorder="1"/>
    <xf numFmtId="171" fontId="39" fillId="3" borderId="12" xfId="0" applyNumberFormat="1" applyFont="1" applyFill="1" applyBorder="1" applyAlignment="1">
      <alignment horizontal="right" vertical="center"/>
    </xf>
    <xf numFmtId="49" fontId="0" fillId="3" borderId="0" xfId="0" applyNumberFormat="1" applyFill="1" applyAlignment="1">
      <alignment horizontal="left"/>
    </xf>
    <xf numFmtId="0" fontId="51" fillId="0" borderId="2" xfId="921" quotePrefix="1" applyNumberFormat="1" applyFont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9" fontId="7" fillId="0" borderId="2" xfId="0" applyNumberFormat="1" applyFont="1" applyBorder="1" applyAlignment="1">
      <alignment horizontal="center"/>
    </xf>
    <xf numFmtId="49" fontId="7" fillId="10" borderId="2" xfId="0" applyNumberFormat="1" applyFont="1" applyFill="1" applyBorder="1" applyAlignment="1">
      <alignment horizontal="center"/>
    </xf>
    <xf numFmtId="2" fontId="7" fillId="0" borderId="2" xfId="0" applyNumberFormat="1" applyFont="1" applyBorder="1"/>
    <xf numFmtId="2" fontId="7" fillId="11" borderId="2" xfId="0" applyNumberFormat="1" applyFont="1" applyFill="1" applyBorder="1"/>
    <xf numFmtId="0" fontId="39" fillId="3" borderId="2" xfId="0" applyFont="1" applyFill="1" applyBorder="1" applyAlignment="1">
      <alignment horizontal="left"/>
    </xf>
    <xf numFmtId="0" fontId="39" fillId="3" borderId="2" xfId="0" applyFont="1" applyFill="1" applyBorder="1"/>
    <xf numFmtId="164" fontId="39" fillId="3" borderId="2" xfId="0" applyNumberFormat="1" applyFont="1" applyFill="1" applyBorder="1"/>
    <xf numFmtId="171" fontId="39" fillId="3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Border="1"/>
    <xf numFmtId="1" fontId="57" fillId="0" borderId="0" xfId="0" applyNumberFormat="1" applyFont="1"/>
    <xf numFmtId="172" fontId="0" fillId="0" borderId="0" xfId="0" applyNumberFormat="1"/>
    <xf numFmtId="168" fontId="10" fillId="0" borderId="0" xfId="921" applyNumberFormat="1" applyFont="1"/>
    <xf numFmtId="43" fontId="29" fillId="0" borderId="0" xfId="921" quotePrefix="1" applyFont="1" applyAlignment="1">
      <alignment horizontal="left"/>
    </xf>
    <xf numFmtId="43" fontId="29" fillId="0" borderId="0" xfId="921" applyFont="1" applyBorder="1" applyAlignment="1">
      <alignment wrapText="1"/>
    </xf>
    <xf numFmtId="1" fontId="32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32" fillId="0" borderId="2" xfId="0" applyNumberFormat="1" applyFont="1" applyBorder="1"/>
    <xf numFmtId="1" fontId="32" fillId="0" borderId="0" xfId="0" applyNumberFormat="1" applyFont="1" applyBorder="1"/>
    <xf numFmtId="1" fontId="30" fillId="0" borderId="0" xfId="0" applyNumberFormat="1" applyFont="1" applyBorder="1"/>
    <xf numFmtId="2" fontId="32" fillId="0" borderId="0" xfId="0" applyNumberFormat="1" applyFont="1" applyAlignment="1">
      <alignment horizontal="center"/>
    </xf>
  </cellXfs>
  <cellStyles count="5778">
    <cellStyle name="Comma" xfId="921" builtinId="3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8" builtinId="9" hidden="1"/>
    <cellStyle name="Followed Hyperlink" xfId="332" builtinId="9" hidden="1"/>
    <cellStyle name="Followed Hyperlink" xfId="336" builtinId="9" hidden="1"/>
    <cellStyle name="Followed Hyperlink" xfId="340" builtinId="9" hidden="1"/>
    <cellStyle name="Followed Hyperlink" xfId="344" builtinId="9" hidden="1"/>
    <cellStyle name="Followed Hyperlink" xfId="348" builtinId="9" hidden="1"/>
    <cellStyle name="Followed Hyperlink" xfId="352" builtinId="9" hidden="1"/>
    <cellStyle name="Followed Hyperlink" xfId="356" builtinId="9" hidden="1"/>
    <cellStyle name="Followed Hyperlink" xfId="360" builtinId="9" hidden="1"/>
    <cellStyle name="Followed Hyperlink" xfId="364" builtinId="9" hidden="1"/>
    <cellStyle name="Followed Hyperlink" xfId="368" builtinId="9" hidden="1"/>
    <cellStyle name="Followed Hyperlink" xfId="372" builtinId="9" hidden="1"/>
    <cellStyle name="Followed Hyperlink" xfId="376" builtinId="9" hidden="1"/>
    <cellStyle name="Followed Hyperlink" xfId="380" builtinId="9" hidden="1"/>
    <cellStyle name="Followed Hyperlink" xfId="384" builtinId="9" hidden="1"/>
    <cellStyle name="Followed Hyperlink" xfId="388" builtinId="9" hidden="1"/>
    <cellStyle name="Followed Hyperlink" xfId="392" builtinId="9" hidden="1"/>
    <cellStyle name="Followed Hyperlink" xfId="396" builtinId="9" hidden="1"/>
    <cellStyle name="Followed Hyperlink" xfId="400" builtinId="9" hidden="1"/>
    <cellStyle name="Followed Hyperlink" xfId="404" builtinId="9" hidden="1"/>
    <cellStyle name="Followed Hyperlink" xfId="408" builtinId="9" hidden="1"/>
    <cellStyle name="Followed Hyperlink" xfId="412" builtinId="9" hidden="1"/>
    <cellStyle name="Followed Hyperlink" xfId="416" builtinId="9" hidden="1"/>
    <cellStyle name="Followed Hyperlink" xfId="420" builtinId="9" hidden="1"/>
    <cellStyle name="Followed Hyperlink" xfId="424" builtinId="9" hidden="1"/>
    <cellStyle name="Followed Hyperlink" xfId="428" builtinId="9" hidden="1"/>
    <cellStyle name="Followed Hyperlink" xfId="432" builtinId="9" hidden="1"/>
    <cellStyle name="Followed Hyperlink" xfId="436" builtinId="9" hidden="1"/>
    <cellStyle name="Followed Hyperlink" xfId="440" builtinId="9" hidden="1"/>
    <cellStyle name="Followed Hyperlink" xfId="444" builtinId="9" hidden="1"/>
    <cellStyle name="Followed Hyperlink" xfId="448" builtinId="9" hidden="1"/>
    <cellStyle name="Followed Hyperlink" xfId="452" builtinId="9" hidden="1"/>
    <cellStyle name="Followed Hyperlink" xfId="456" builtinId="9" hidden="1"/>
    <cellStyle name="Followed Hyperlink" xfId="460" builtinId="9" hidden="1"/>
    <cellStyle name="Followed Hyperlink" xfId="464" builtinId="9" hidden="1"/>
    <cellStyle name="Followed Hyperlink" xfId="468" builtinId="9" hidden="1"/>
    <cellStyle name="Followed Hyperlink" xfId="472" builtinId="9" hidden="1"/>
    <cellStyle name="Followed Hyperlink" xfId="476" builtinId="9" hidden="1"/>
    <cellStyle name="Followed Hyperlink" xfId="480" builtinId="9" hidden="1"/>
    <cellStyle name="Followed Hyperlink" xfId="484" builtinId="9" hidden="1"/>
    <cellStyle name="Followed Hyperlink" xfId="488" builtinId="9" hidden="1"/>
    <cellStyle name="Followed Hyperlink" xfId="492" builtinId="9" hidden="1"/>
    <cellStyle name="Followed Hyperlink" xfId="496" builtinId="9" hidden="1"/>
    <cellStyle name="Followed Hyperlink" xfId="500" builtinId="9" hidden="1"/>
    <cellStyle name="Followed Hyperlink" xfId="504" builtinId="9" hidden="1"/>
    <cellStyle name="Followed Hyperlink" xfId="508" builtinId="9" hidden="1"/>
    <cellStyle name="Followed Hyperlink" xfId="512" builtinId="9" hidden="1"/>
    <cellStyle name="Followed Hyperlink" xfId="516" builtinId="9" hidden="1"/>
    <cellStyle name="Followed Hyperlink" xfId="520" builtinId="9" hidden="1"/>
    <cellStyle name="Followed Hyperlink" xfId="524" builtinId="9" hidden="1"/>
    <cellStyle name="Followed Hyperlink" xfId="528" builtinId="9" hidden="1"/>
    <cellStyle name="Followed Hyperlink" xfId="532" builtinId="9" hidden="1"/>
    <cellStyle name="Followed Hyperlink" xfId="536" builtinId="9" hidden="1"/>
    <cellStyle name="Followed Hyperlink" xfId="540" builtinId="9" hidden="1"/>
    <cellStyle name="Followed Hyperlink" xfId="544" builtinId="9" hidden="1"/>
    <cellStyle name="Followed Hyperlink" xfId="548" builtinId="9" hidden="1"/>
    <cellStyle name="Followed Hyperlink" xfId="552" builtinId="9" hidden="1"/>
    <cellStyle name="Followed Hyperlink" xfId="556" builtinId="9" hidden="1"/>
    <cellStyle name="Followed Hyperlink" xfId="560" builtinId="9" hidden="1"/>
    <cellStyle name="Followed Hyperlink" xfId="564" builtinId="9" hidden="1"/>
    <cellStyle name="Followed Hyperlink" xfId="568" builtinId="9" hidden="1"/>
    <cellStyle name="Followed Hyperlink" xfId="572" builtinId="9" hidden="1"/>
    <cellStyle name="Followed Hyperlink" xfId="576" builtinId="9" hidden="1"/>
    <cellStyle name="Followed Hyperlink" xfId="580" builtinId="9" hidden="1"/>
    <cellStyle name="Followed Hyperlink" xfId="584" builtinId="9" hidden="1"/>
    <cellStyle name="Followed Hyperlink" xfId="588" builtinId="9" hidden="1"/>
    <cellStyle name="Followed Hyperlink" xfId="592" builtinId="9" hidden="1"/>
    <cellStyle name="Followed Hyperlink" xfId="596" builtinId="9" hidden="1"/>
    <cellStyle name="Followed Hyperlink" xfId="600" builtinId="9" hidden="1"/>
    <cellStyle name="Followed Hyperlink" xfId="604" builtinId="9" hidden="1"/>
    <cellStyle name="Followed Hyperlink" xfId="608" builtinId="9" hidden="1"/>
    <cellStyle name="Followed Hyperlink" xfId="612" builtinId="9" hidden="1"/>
    <cellStyle name="Followed Hyperlink" xfId="616" builtinId="9" hidden="1"/>
    <cellStyle name="Followed Hyperlink" xfId="620" builtinId="9" hidden="1"/>
    <cellStyle name="Followed Hyperlink" xfId="624" builtinId="9" hidden="1"/>
    <cellStyle name="Followed Hyperlink" xfId="628" builtinId="9" hidden="1"/>
    <cellStyle name="Followed Hyperlink" xfId="632" builtinId="9" hidden="1"/>
    <cellStyle name="Followed Hyperlink" xfId="636" builtinId="9" hidden="1"/>
    <cellStyle name="Followed Hyperlink" xfId="640" builtinId="9" hidden="1"/>
    <cellStyle name="Followed Hyperlink" xfId="644" builtinId="9" hidden="1"/>
    <cellStyle name="Followed Hyperlink" xfId="648" builtinId="9" hidden="1"/>
    <cellStyle name="Followed Hyperlink" xfId="652" builtinId="9" hidden="1"/>
    <cellStyle name="Followed Hyperlink" xfId="656" builtinId="9" hidden="1"/>
    <cellStyle name="Followed Hyperlink" xfId="660" builtinId="9" hidden="1"/>
    <cellStyle name="Followed Hyperlink" xfId="664" builtinId="9" hidden="1"/>
    <cellStyle name="Followed Hyperlink" xfId="668" builtinId="9" hidden="1"/>
    <cellStyle name="Followed Hyperlink" xfId="672" builtinId="9" hidden="1"/>
    <cellStyle name="Followed Hyperlink" xfId="676" builtinId="9" hidden="1"/>
    <cellStyle name="Followed Hyperlink" xfId="680" builtinId="9" hidden="1"/>
    <cellStyle name="Followed Hyperlink" xfId="684" builtinId="9" hidden="1"/>
    <cellStyle name="Followed Hyperlink" xfId="688" builtinId="9" hidden="1"/>
    <cellStyle name="Followed Hyperlink" xfId="692" builtinId="9" hidden="1"/>
    <cellStyle name="Followed Hyperlink" xfId="696" builtinId="9" hidden="1"/>
    <cellStyle name="Followed Hyperlink" xfId="700" builtinId="9" hidden="1"/>
    <cellStyle name="Followed Hyperlink" xfId="704" builtinId="9" hidden="1"/>
    <cellStyle name="Followed Hyperlink" xfId="708" builtinId="9" hidden="1"/>
    <cellStyle name="Followed Hyperlink" xfId="712" builtinId="9" hidden="1"/>
    <cellStyle name="Followed Hyperlink" xfId="716" builtinId="9" hidden="1"/>
    <cellStyle name="Followed Hyperlink" xfId="720" builtinId="9" hidden="1"/>
    <cellStyle name="Followed Hyperlink" xfId="724" builtinId="9" hidden="1"/>
    <cellStyle name="Followed Hyperlink" xfId="728" builtinId="9" hidden="1"/>
    <cellStyle name="Followed Hyperlink" xfId="732" builtinId="9" hidden="1"/>
    <cellStyle name="Followed Hyperlink" xfId="736" builtinId="9" hidden="1"/>
    <cellStyle name="Followed Hyperlink" xfId="740" builtinId="9" hidden="1"/>
    <cellStyle name="Followed Hyperlink" xfId="744" builtinId="9" hidden="1"/>
    <cellStyle name="Followed Hyperlink" xfId="748" builtinId="9" hidden="1"/>
    <cellStyle name="Followed Hyperlink" xfId="752" builtinId="9" hidden="1"/>
    <cellStyle name="Followed Hyperlink" xfId="756" builtinId="9" hidden="1"/>
    <cellStyle name="Followed Hyperlink" xfId="760" builtinId="9" hidden="1"/>
    <cellStyle name="Followed Hyperlink" xfId="764" builtinId="9" hidden="1"/>
    <cellStyle name="Followed Hyperlink" xfId="768" builtinId="9" hidden="1"/>
    <cellStyle name="Followed Hyperlink" xfId="772" builtinId="9" hidden="1"/>
    <cellStyle name="Followed Hyperlink" xfId="776" builtinId="9" hidden="1"/>
    <cellStyle name="Followed Hyperlink" xfId="780" builtinId="9" hidden="1"/>
    <cellStyle name="Followed Hyperlink" xfId="784" builtinId="9" hidden="1"/>
    <cellStyle name="Followed Hyperlink" xfId="788" builtinId="9" hidden="1"/>
    <cellStyle name="Followed Hyperlink" xfId="792" builtinId="9" hidden="1"/>
    <cellStyle name="Followed Hyperlink" xfId="796" builtinId="9" hidden="1"/>
    <cellStyle name="Followed Hyperlink" xfId="800" builtinId="9" hidden="1"/>
    <cellStyle name="Followed Hyperlink" xfId="804" builtinId="9" hidden="1"/>
    <cellStyle name="Followed Hyperlink" xfId="808" builtinId="9" hidden="1"/>
    <cellStyle name="Followed Hyperlink" xfId="812" builtinId="9" hidden="1"/>
    <cellStyle name="Followed Hyperlink" xfId="816" builtinId="9" hidden="1"/>
    <cellStyle name="Followed Hyperlink" xfId="820" builtinId="9" hidden="1"/>
    <cellStyle name="Followed Hyperlink" xfId="824" builtinId="9" hidden="1"/>
    <cellStyle name="Followed Hyperlink" xfId="828" builtinId="9" hidden="1"/>
    <cellStyle name="Followed Hyperlink" xfId="832" builtinId="9" hidden="1"/>
    <cellStyle name="Followed Hyperlink" xfId="836" builtinId="9" hidden="1"/>
    <cellStyle name="Followed Hyperlink" xfId="840" builtinId="9" hidden="1"/>
    <cellStyle name="Followed Hyperlink" xfId="844" builtinId="9" hidden="1"/>
    <cellStyle name="Followed Hyperlink" xfId="848" builtinId="9" hidden="1"/>
    <cellStyle name="Followed Hyperlink" xfId="852" builtinId="9" hidden="1"/>
    <cellStyle name="Followed Hyperlink" xfId="856" builtinId="9" hidden="1"/>
    <cellStyle name="Followed Hyperlink" xfId="860" builtinId="9" hidden="1"/>
    <cellStyle name="Followed Hyperlink" xfId="864" builtinId="9" hidden="1"/>
    <cellStyle name="Followed Hyperlink" xfId="868" builtinId="9" hidden="1"/>
    <cellStyle name="Followed Hyperlink" xfId="872" builtinId="9" hidden="1"/>
    <cellStyle name="Followed Hyperlink" xfId="876" builtinId="9" hidden="1"/>
    <cellStyle name="Followed Hyperlink" xfId="880" builtinId="9" hidden="1"/>
    <cellStyle name="Followed Hyperlink" xfId="884" builtinId="9" hidden="1"/>
    <cellStyle name="Followed Hyperlink" xfId="888" builtinId="9" hidden="1"/>
    <cellStyle name="Followed Hyperlink" xfId="892" builtinId="9" hidden="1"/>
    <cellStyle name="Followed Hyperlink" xfId="896" builtinId="9" hidden="1"/>
    <cellStyle name="Followed Hyperlink" xfId="900" builtinId="9" hidden="1"/>
    <cellStyle name="Followed Hyperlink" xfId="904" builtinId="9" hidden="1"/>
    <cellStyle name="Followed Hyperlink" xfId="908" builtinId="9" hidden="1"/>
    <cellStyle name="Followed Hyperlink" xfId="912" builtinId="9" hidden="1"/>
    <cellStyle name="Followed Hyperlink" xfId="916" builtinId="9" hidden="1"/>
    <cellStyle name="Followed Hyperlink" xfId="920" builtinId="9" hidden="1"/>
    <cellStyle name="Followed Hyperlink" xfId="925" builtinId="9" hidden="1"/>
    <cellStyle name="Followed Hyperlink" xfId="929" builtinId="9" hidden="1"/>
    <cellStyle name="Followed Hyperlink" xfId="933" builtinId="9" hidden="1"/>
    <cellStyle name="Followed Hyperlink" xfId="937" builtinId="9" hidden="1"/>
    <cellStyle name="Followed Hyperlink" xfId="941" builtinId="9" hidden="1"/>
    <cellStyle name="Followed Hyperlink" xfId="945" builtinId="9" hidden="1"/>
    <cellStyle name="Followed Hyperlink" xfId="949" builtinId="9" hidden="1"/>
    <cellStyle name="Followed Hyperlink" xfId="953" builtinId="9" hidden="1"/>
    <cellStyle name="Followed Hyperlink" xfId="957" builtinId="9" hidden="1"/>
    <cellStyle name="Followed Hyperlink" xfId="961" builtinId="9" hidden="1"/>
    <cellStyle name="Followed Hyperlink" xfId="965" builtinId="9" hidden="1"/>
    <cellStyle name="Followed Hyperlink" xfId="969" builtinId="9" hidden="1"/>
    <cellStyle name="Followed Hyperlink" xfId="973" builtinId="9" hidden="1"/>
    <cellStyle name="Followed Hyperlink" xfId="977" builtinId="9" hidden="1"/>
    <cellStyle name="Followed Hyperlink" xfId="981" builtinId="9" hidden="1"/>
    <cellStyle name="Followed Hyperlink" xfId="985" builtinId="9" hidden="1"/>
    <cellStyle name="Followed Hyperlink" xfId="989" builtinId="9" hidden="1"/>
    <cellStyle name="Followed Hyperlink" xfId="993" builtinId="9" hidden="1"/>
    <cellStyle name="Followed Hyperlink" xfId="997" builtinId="9" hidden="1"/>
    <cellStyle name="Followed Hyperlink" xfId="1001" builtinId="9" hidden="1"/>
    <cellStyle name="Followed Hyperlink" xfId="1005" builtinId="9" hidden="1"/>
    <cellStyle name="Followed Hyperlink" xfId="1009" builtinId="9" hidden="1"/>
    <cellStyle name="Followed Hyperlink" xfId="1013" builtinId="9" hidden="1"/>
    <cellStyle name="Followed Hyperlink" xfId="1017" builtinId="9" hidden="1"/>
    <cellStyle name="Followed Hyperlink" xfId="1021" builtinId="9" hidden="1"/>
    <cellStyle name="Followed Hyperlink" xfId="1025" builtinId="9" hidden="1"/>
    <cellStyle name="Followed Hyperlink" xfId="1029" builtinId="9" hidden="1"/>
    <cellStyle name="Followed Hyperlink" xfId="1033" builtinId="9" hidden="1"/>
    <cellStyle name="Followed Hyperlink" xfId="1037" builtinId="9" hidden="1"/>
    <cellStyle name="Followed Hyperlink" xfId="1041" builtinId="9" hidden="1"/>
    <cellStyle name="Followed Hyperlink" xfId="1045" builtinId="9" hidden="1"/>
    <cellStyle name="Followed Hyperlink" xfId="1049" builtinId="9" hidden="1"/>
    <cellStyle name="Followed Hyperlink" xfId="1053" builtinId="9" hidden="1"/>
    <cellStyle name="Followed Hyperlink" xfId="1057" builtinId="9" hidden="1"/>
    <cellStyle name="Followed Hyperlink" xfId="1061" builtinId="9" hidden="1"/>
    <cellStyle name="Followed Hyperlink" xfId="1065" builtinId="9" hidden="1"/>
    <cellStyle name="Followed Hyperlink" xfId="1069" builtinId="9" hidden="1"/>
    <cellStyle name="Followed Hyperlink" xfId="1073" builtinId="9" hidden="1"/>
    <cellStyle name="Followed Hyperlink" xfId="1077" builtinId="9" hidden="1"/>
    <cellStyle name="Followed Hyperlink" xfId="1081" builtinId="9" hidden="1"/>
    <cellStyle name="Followed Hyperlink" xfId="1085" builtinId="9" hidden="1"/>
    <cellStyle name="Followed Hyperlink" xfId="1089" builtinId="9" hidden="1"/>
    <cellStyle name="Followed Hyperlink" xfId="1093" builtinId="9" hidden="1"/>
    <cellStyle name="Followed Hyperlink" xfId="1097" builtinId="9" hidden="1"/>
    <cellStyle name="Followed Hyperlink" xfId="1101" builtinId="9" hidden="1"/>
    <cellStyle name="Followed Hyperlink" xfId="1105" builtinId="9" hidden="1"/>
    <cellStyle name="Followed Hyperlink" xfId="1109" builtinId="9" hidden="1"/>
    <cellStyle name="Followed Hyperlink" xfId="1113" builtinId="9" hidden="1"/>
    <cellStyle name="Followed Hyperlink" xfId="1117" builtinId="9" hidden="1"/>
    <cellStyle name="Followed Hyperlink" xfId="1121" builtinId="9" hidden="1"/>
    <cellStyle name="Followed Hyperlink" xfId="1125" builtinId="9" hidden="1"/>
    <cellStyle name="Followed Hyperlink" xfId="1129" builtinId="9" hidden="1"/>
    <cellStyle name="Followed Hyperlink" xfId="1133" builtinId="9" hidden="1"/>
    <cellStyle name="Followed Hyperlink" xfId="1137" builtinId="9" hidden="1"/>
    <cellStyle name="Followed Hyperlink" xfId="1141" builtinId="9" hidden="1"/>
    <cellStyle name="Followed Hyperlink" xfId="1145" builtinId="9" hidden="1"/>
    <cellStyle name="Followed Hyperlink" xfId="1149" builtinId="9" hidden="1"/>
    <cellStyle name="Followed Hyperlink" xfId="1153" builtinId="9" hidden="1"/>
    <cellStyle name="Followed Hyperlink" xfId="1157" builtinId="9" hidden="1"/>
    <cellStyle name="Followed Hyperlink" xfId="1161" builtinId="9" hidden="1"/>
    <cellStyle name="Followed Hyperlink" xfId="1165" builtinId="9" hidden="1"/>
    <cellStyle name="Followed Hyperlink" xfId="1169" builtinId="9" hidden="1"/>
    <cellStyle name="Followed Hyperlink" xfId="1173" builtinId="9" hidden="1"/>
    <cellStyle name="Followed Hyperlink" xfId="1177" builtinId="9" hidden="1"/>
    <cellStyle name="Followed Hyperlink" xfId="1181" builtinId="9" hidden="1"/>
    <cellStyle name="Followed Hyperlink" xfId="1185" builtinId="9" hidden="1"/>
    <cellStyle name="Followed Hyperlink" xfId="1189" builtinId="9" hidden="1"/>
    <cellStyle name="Followed Hyperlink" xfId="1193" builtinId="9" hidden="1"/>
    <cellStyle name="Followed Hyperlink" xfId="1197" builtinId="9" hidden="1"/>
    <cellStyle name="Followed Hyperlink" xfId="1201" builtinId="9" hidden="1"/>
    <cellStyle name="Followed Hyperlink" xfId="1205" builtinId="9" hidden="1"/>
    <cellStyle name="Followed Hyperlink" xfId="1209" builtinId="9" hidden="1"/>
    <cellStyle name="Followed Hyperlink" xfId="1213" builtinId="9" hidden="1"/>
    <cellStyle name="Followed Hyperlink" xfId="1217" builtinId="9" hidden="1"/>
    <cellStyle name="Followed Hyperlink" xfId="1221" builtinId="9" hidden="1"/>
    <cellStyle name="Followed Hyperlink" xfId="1225" builtinId="9" hidden="1"/>
    <cellStyle name="Followed Hyperlink" xfId="1229" builtinId="9" hidden="1"/>
    <cellStyle name="Followed Hyperlink" xfId="1233" builtinId="9" hidden="1"/>
    <cellStyle name="Followed Hyperlink" xfId="1237" builtinId="9" hidden="1"/>
    <cellStyle name="Followed Hyperlink" xfId="1241" builtinId="9" hidden="1"/>
    <cellStyle name="Followed Hyperlink" xfId="1245" builtinId="9" hidden="1"/>
    <cellStyle name="Followed Hyperlink" xfId="1249" builtinId="9" hidden="1"/>
    <cellStyle name="Followed Hyperlink" xfId="1253" builtinId="9" hidden="1"/>
    <cellStyle name="Followed Hyperlink" xfId="1257" builtinId="9" hidden="1"/>
    <cellStyle name="Followed Hyperlink" xfId="1261" builtinId="9" hidden="1"/>
    <cellStyle name="Followed Hyperlink" xfId="1265" builtinId="9" hidden="1"/>
    <cellStyle name="Followed Hyperlink" xfId="1269" builtinId="9" hidden="1"/>
    <cellStyle name="Followed Hyperlink" xfId="1273" builtinId="9" hidden="1"/>
    <cellStyle name="Followed Hyperlink" xfId="1277" builtinId="9" hidden="1"/>
    <cellStyle name="Followed Hyperlink" xfId="1281" builtinId="9" hidden="1"/>
    <cellStyle name="Followed Hyperlink" xfId="1285" builtinId="9" hidden="1"/>
    <cellStyle name="Followed Hyperlink" xfId="1289" builtinId="9" hidden="1"/>
    <cellStyle name="Followed Hyperlink" xfId="1293" builtinId="9" hidden="1"/>
    <cellStyle name="Followed Hyperlink" xfId="1297" builtinId="9" hidden="1"/>
    <cellStyle name="Followed Hyperlink" xfId="1301" builtinId="9" hidden="1"/>
    <cellStyle name="Followed Hyperlink" xfId="1305" builtinId="9" hidden="1"/>
    <cellStyle name="Followed Hyperlink" xfId="1309" builtinId="9" hidden="1"/>
    <cellStyle name="Followed Hyperlink" xfId="1313" builtinId="9" hidden="1"/>
    <cellStyle name="Followed Hyperlink" xfId="1317" builtinId="9" hidden="1"/>
    <cellStyle name="Followed Hyperlink" xfId="1321" builtinId="9" hidden="1"/>
    <cellStyle name="Followed Hyperlink" xfId="1325" builtinId="9" hidden="1"/>
    <cellStyle name="Followed Hyperlink" xfId="1329" builtinId="9" hidden="1"/>
    <cellStyle name="Followed Hyperlink" xfId="1333" builtinId="9" hidden="1"/>
    <cellStyle name="Followed Hyperlink" xfId="1337" builtinId="9" hidden="1"/>
    <cellStyle name="Followed Hyperlink" xfId="1341" builtinId="9" hidden="1"/>
    <cellStyle name="Followed Hyperlink" xfId="1345" builtinId="9" hidden="1"/>
    <cellStyle name="Followed Hyperlink" xfId="1349" builtinId="9" hidden="1"/>
    <cellStyle name="Followed Hyperlink" xfId="1353" builtinId="9" hidden="1"/>
    <cellStyle name="Followed Hyperlink" xfId="1357" builtinId="9" hidden="1"/>
    <cellStyle name="Followed Hyperlink" xfId="1361" builtinId="9" hidden="1"/>
    <cellStyle name="Followed Hyperlink" xfId="1365" builtinId="9" hidden="1"/>
    <cellStyle name="Followed Hyperlink" xfId="1369" builtinId="9" hidden="1"/>
    <cellStyle name="Followed Hyperlink" xfId="1373" builtinId="9" hidden="1"/>
    <cellStyle name="Followed Hyperlink" xfId="1377" builtinId="9" hidden="1"/>
    <cellStyle name="Followed Hyperlink" xfId="1381" builtinId="9" hidden="1"/>
    <cellStyle name="Followed Hyperlink" xfId="1385" builtinId="9" hidden="1"/>
    <cellStyle name="Followed Hyperlink" xfId="1389" builtinId="9" hidden="1"/>
    <cellStyle name="Followed Hyperlink" xfId="1393" builtinId="9" hidden="1"/>
    <cellStyle name="Followed Hyperlink" xfId="1397" builtinId="9" hidden="1"/>
    <cellStyle name="Followed Hyperlink" xfId="1401" builtinId="9" hidden="1"/>
    <cellStyle name="Followed Hyperlink" xfId="1405" builtinId="9" hidden="1"/>
    <cellStyle name="Followed Hyperlink" xfId="1409" builtinId="9" hidden="1"/>
    <cellStyle name="Followed Hyperlink" xfId="1413" builtinId="9" hidden="1"/>
    <cellStyle name="Followed Hyperlink" xfId="1417" builtinId="9" hidden="1"/>
    <cellStyle name="Followed Hyperlink" xfId="1421" builtinId="9" hidden="1"/>
    <cellStyle name="Followed Hyperlink" xfId="1425" builtinId="9" hidden="1"/>
    <cellStyle name="Followed Hyperlink" xfId="1429" builtinId="9" hidden="1"/>
    <cellStyle name="Followed Hyperlink" xfId="1433" builtinId="9" hidden="1"/>
    <cellStyle name="Followed Hyperlink" xfId="1437" builtinId="9" hidden="1"/>
    <cellStyle name="Followed Hyperlink" xfId="1441" builtinId="9" hidden="1"/>
    <cellStyle name="Followed Hyperlink" xfId="1445" builtinId="9" hidden="1"/>
    <cellStyle name="Followed Hyperlink" xfId="1449" builtinId="9" hidden="1"/>
    <cellStyle name="Followed Hyperlink" xfId="1453" builtinId="9" hidden="1"/>
    <cellStyle name="Followed Hyperlink" xfId="1457" builtinId="9" hidden="1"/>
    <cellStyle name="Followed Hyperlink" xfId="1461" builtinId="9" hidden="1"/>
    <cellStyle name="Followed Hyperlink" xfId="1465" builtinId="9" hidden="1"/>
    <cellStyle name="Followed Hyperlink" xfId="1469" builtinId="9" hidden="1"/>
    <cellStyle name="Followed Hyperlink" xfId="1473" builtinId="9" hidden="1"/>
    <cellStyle name="Followed Hyperlink" xfId="1477" builtinId="9" hidden="1"/>
    <cellStyle name="Followed Hyperlink" xfId="1481" builtinId="9" hidden="1"/>
    <cellStyle name="Followed Hyperlink" xfId="1485" builtinId="9" hidden="1"/>
    <cellStyle name="Followed Hyperlink" xfId="1489" builtinId="9" hidden="1"/>
    <cellStyle name="Followed Hyperlink" xfId="1493" builtinId="9" hidden="1"/>
    <cellStyle name="Followed Hyperlink" xfId="1497" builtinId="9" hidden="1"/>
    <cellStyle name="Followed Hyperlink" xfId="1501" builtinId="9" hidden="1"/>
    <cellStyle name="Followed Hyperlink" xfId="1505" builtinId="9" hidden="1"/>
    <cellStyle name="Followed Hyperlink" xfId="1509" builtinId="9" hidden="1"/>
    <cellStyle name="Followed Hyperlink" xfId="1513" builtinId="9" hidden="1"/>
    <cellStyle name="Followed Hyperlink" xfId="1517" builtinId="9" hidden="1"/>
    <cellStyle name="Followed Hyperlink" xfId="1521" builtinId="9" hidden="1"/>
    <cellStyle name="Followed Hyperlink" xfId="1525" builtinId="9" hidden="1"/>
    <cellStyle name="Followed Hyperlink" xfId="1529" builtinId="9" hidden="1"/>
    <cellStyle name="Followed Hyperlink" xfId="1533" builtinId="9" hidden="1"/>
    <cellStyle name="Followed Hyperlink" xfId="1537" builtinId="9" hidden="1"/>
    <cellStyle name="Followed Hyperlink" xfId="1541" builtinId="9" hidden="1"/>
    <cellStyle name="Followed Hyperlink" xfId="1545" builtinId="9" hidden="1"/>
    <cellStyle name="Followed Hyperlink" xfId="1549" builtinId="9" hidden="1"/>
    <cellStyle name="Followed Hyperlink" xfId="1553" builtinId="9" hidden="1"/>
    <cellStyle name="Followed Hyperlink" xfId="1557" builtinId="9" hidden="1"/>
    <cellStyle name="Followed Hyperlink" xfId="1561" builtinId="9" hidden="1"/>
    <cellStyle name="Followed Hyperlink" xfId="1565" builtinId="9" hidden="1"/>
    <cellStyle name="Followed Hyperlink" xfId="1569" builtinId="9" hidden="1"/>
    <cellStyle name="Followed Hyperlink" xfId="1573" builtinId="9" hidden="1"/>
    <cellStyle name="Followed Hyperlink" xfId="1577" builtinId="9" hidden="1"/>
    <cellStyle name="Followed Hyperlink" xfId="1581" builtinId="9" hidden="1"/>
    <cellStyle name="Followed Hyperlink" xfId="1585" builtinId="9" hidden="1"/>
    <cellStyle name="Followed Hyperlink" xfId="1589" builtinId="9" hidden="1"/>
    <cellStyle name="Followed Hyperlink" xfId="1593" builtinId="9" hidden="1"/>
    <cellStyle name="Followed Hyperlink" xfId="1597" builtinId="9" hidden="1"/>
    <cellStyle name="Followed Hyperlink" xfId="1601" builtinId="9" hidden="1"/>
    <cellStyle name="Followed Hyperlink" xfId="1605" builtinId="9" hidden="1"/>
    <cellStyle name="Followed Hyperlink" xfId="1609" builtinId="9" hidden="1"/>
    <cellStyle name="Followed Hyperlink" xfId="1613" builtinId="9" hidden="1"/>
    <cellStyle name="Followed Hyperlink" xfId="1617" builtinId="9" hidden="1"/>
    <cellStyle name="Followed Hyperlink" xfId="1621" builtinId="9" hidden="1"/>
    <cellStyle name="Followed Hyperlink" xfId="1625" builtinId="9" hidden="1"/>
    <cellStyle name="Followed Hyperlink" xfId="1629" builtinId="9" hidden="1"/>
    <cellStyle name="Followed Hyperlink" xfId="1633" builtinId="9" hidden="1"/>
    <cellStyle name="Followed Hyperlink" xfId="1637" builtinId="9" hidden="1"/>
    <cellStyle name="Followed Hyperlink" xfId="1641" builtinId="9" hidden="1"/>
    <cellStyle name="Followed Hyperlink" xfId="1645" builtinId="9" hidden="1"/>
    <cellStyle name="Followed Hyperlink" xfId="1649" builtinId="9" hidden="1"/>
    <cellStyle name="Followed Hyperlink" xfId="1653" builtinId="9" hidden="1"/>
    <cellStyle name="Followed Hyperlink" xfId="1657" builtinId="9" hidden="1"/>
    <cellStyle name="Followed Hyperlink" xfId="1661" builtinId="9" hidden="1"/>
    <cellStyle name="Followed Hyperlink" xfId="1665" builtinId="9" hidden="1"/>
    <cellStyle name="Followed Hyperlink" xfId="1669" builtinId="9" hidden="1"/>
    <cellStyle name="Followed Hyperlink" xfId="1673" builtinId="9" hidden="1"/>
    <cellStyle name="Followed Hyperlink" xfId="1677" builtinId="9" hidden="1"/>
    <cellStyle name="Followed Hyperlink" xfId="1681" builtinId="9" hidden="1"/>
    <cellStyle name="Followed Hyperlink" xfId="1685" builtinId="9" hidden="1"/>
    <cellStyle name="Followed Hyperlink" xfId="1689" builtinId="9" hidden="1"/>
    <cellStyle name="Followed Hyperlink" xfId="1693" builtinId="9" hidden="1"/>
    <cellStyle name="Followed Hyperlink" xfId="1697" builtinId="9" hidden="1"/>
    <cellStyle name="Followed Hyperlink" xfId="1701" builtinId="9" hidden="1"/>
    <cellStyle name="Followed Hyperlink" xfId="1705" builtinId="9" hidden="1"/>
    <cellStyle name="Followed Hyperlink" xfId="1709" builtinId="9" hidden="1"/>
    <cellStyle name="Followed Hyperlink" xfId="1713" builtinId="9" hidden="1"/>
    <cellStyle name="Followed Hyperlink" xfId="1717" builtinId="9" hidden="1"/>
    <cellStyle name="Followed Hyperlink" xfId="1721" builtinId="9" hidden="1"/>
    <cellStyle name="Followed Hyperlink" xfId="1725" builtinId="9" hidden="1"/>
    <cellStyle name="Followed Hyperlink" xfId="1729" builtinId="9" hidden="1"/>
    <cellStyle name="Followed Hyperlink" xfId="1733" builtinId="9" hidden="1"/>
    <cellStyle name="Followed Hyperlink" xfId="1737" builtinId="9" hidden="1"/>
    <cellStyle name="Followed Hyperlink" xfId="1741" builtinId="9" hidden="1"/>
    <cellStyle name="Followed Hyperlink" xfId="1745" builtinId="9" hidden="1"/>
    <cellStyle name="Followed Hyperlink" xfId="1749" builtinId="9" hidden="1"/>
    <cellStyle name="Followed Hyperlink" xfId="1753" builtinId="9" hidden="1"/>
    <cellStyle name="Followed Hyperlink" xfId="1757" builtinId="9" hidden="1"/>
    <cellStyle name="Followed Hyperlink" xfId="1761" builtinId="9" hidden="1"/>
    <cellStyle name="Followed Hyperlink" xfId="1765" builtinId="9" hidden="1"/>
    <cellStyle name="Followed Hyperlink" xfId="1769" builtinId="9" hidden="1"/>
    <cellStyle name="Followed Hyperlink" xfId="1773" builtinId="9" hidden="1"/>
    <cellStyle name="Followed Hyperlink" xfId="1777" builtinId="9" hidden="1"/>
    <cellStyle name="Followed Hyperlink" xfId="1781" builtinId="9" hidden="1"/>
    <cellStyle name="Followed Hyperlink" xfId="1785" builtinId="9" hidden="1"/>
    <cellStyle name="Followed Hyperlink" xfId="1789" builtinId="9" hidden="1"/>
    <cellStyle name="Followed Hyperlink" xfId="1793" builtinId="9" hidden="1"/>
    <cellStyle name="Followed Hyperlink" xfId="1797" builtinId="9" hidden="1"/>
    <cellStyle name="Followed Hyperlink" xfId="1801" builtinId="9" hidden="1"/>
    <cellStyle name="Followed Hyperlink" xfId="1805" builtinId="9" hidden="1"/>
    <cellStyle name="Followed Hyperlink" xfId="1809" builtinId="9" hidden="1"/>
    <cellStyle name="Followed Hyperlink" xfId="1813" builtinId="9" hidden="1"/>
    <cellStyle name="Followed Hyperlink" xfId="1817" builtinId="9" hidden="1"/>
    <cellStyle name="Followed Hyperlink" xfId="1821" builtinId="9" hidden="1"/>
    <cellStyle name="Followed Hyperlink" xfId="1825" builtinId="9" hidden="1"/>
    <cellStyle name="Followed Hyperlink" xfId="1829" builtinId="9" hidden="1"/>
    <cellStyle name="Followed Hyperlink" xfId="1833" builtinId="9" hidden="1"/>
    <cellStyle name="Followed Hyperlink" xfId="1837" builtinId="9" hidden="1"/>
    <cellStyle name="Followed Hyperlink" xfId="1841" builtinId="9" hidden="1"/>
    <cellStyle name="Followed Hyperlink" xfId="1845" builtinId="9" hidden="1"/>
    <cellStyle name="Followed Hyperlink" xfId="1849" builtinId="9" hidden="1"/>
    <cellStyle name="Followed Hyperlink" xfId="1853" builtinId="9" hidden="1"/>
    <cellStyle name="Followed Hyperlink" xfId="1857" builtinId="9" hidden="1"/>
    <cellStyle name="Followed Hyperlink" xfId="1861" builtinId="9" hidden="1"/>
    <cellStyle name="Followed Hyperlink" xfId="1865" builtinId="9" hidden="1"/>
    <cellStyle name="Followed Hyperlink" xfId="1869" builtinId="9" hidden="1"/>
    <cellStyle name="Followed Hyperlink" xfId="1873" builtinId="9" hidden="1"/>
    <cellStyle name="Followed Hyperlink" xfId="1877" builtinId="9" hidden="1"/>
    <cellStyle name="Followed Hyperlink" xfId="1881" builtinId="9" hidden="1"/>
    <cellStyle name="Followed Hyperlink" xfId="1885" builtinId="9" hidden="1"/>
    <cellStyle name="Followed Hyperlink" xfId="1889" builtinId="9" hidden="1"/>
    <cellStyle name="Followed Hyperlink" xfId="1893" builtinId="9" hidden="1"/>
    <cellStyle name="Followed Hyperlink" xfId="1897" builtinId="9" hidden="1"/>
    <cellStyle name="Followed Hyperlink" xfId="1901" builtinId="9" hidden="1"/>
    <cellStyle name="Followed Hyperlink" xfId="1905" builtinId="9" hidden="1"/>
    <cellStyle name="Followed Hyperlink" xfId="1909" builtinId="9" hidden="1"/>
    <cellStyle name="Followed Hyperlink" xfId="1913" builtinId="9" hidden="1"/>
    <cellStyle name="Followed Hyperlink" xfId="1917" builtinId="9" hidden="1"/>
    <cellStyle name="Followed Hyperlink" xfId="1921" builtinId="9" hidden="1"/>
    <cellStyle name="Followed Hyperlink" xfId="1925" builtinId="9" hidden="1"/>
    <cellStyle name="Followed Hyperlink" xfId="1929" builtinId="9" hidden="1"/>
    <cellStyle name="Followed Hyperlink" xfId="1933" builtinId="9" hidden="1"/>
    <cellStyle name="Followed Hyperlink" xfId="1937" builtinId="9" hidden="1"/>
    <cellStyle name="Followed Hyperlink" xfId="1941" builtinId="9" hidden="1"/>
    <cellStyle name="Followed Hyperlink" xfId="1945" builtinId="9" hidden="1"/>
    <cellStyle name="Followed Hyperlink" xfId="1949" builtinId="9" hidden="1"/>
    <cellStyle name="Followed Hyperlink" xfId="1953" builtinId="9" hidden="1"/>
    <cellStyle name="Followed Hyperlink" xfId="1957" builtinId="9" hidden="1"/>
    <cellStyle name="Followed Hyperlink" xfId="1961" builtinId="9" hidden="1"/>
    <cellStyle name="Followed Hyperlink" xfId="1965" builtinId="9" hidden="1"/>
    <cellStyle name="Followed Hyperlink" xfId="1969" builtinId="9" hidden="1"/>
    <cellStyle name="Followed Hyperlink" xfId="1973" builtinId="9" hidden="1"/>
    <cellStyle name="Followed Hyperlink" xfId="1977" builtinId="9" hidden="1"/>
    <cellStyle name="Followed Hyperlink" xfId="1981" builtinId="9" hidden="1"/>
    <cellStyle name="Followed Hyperlink" xfId="1985" builtinId="9" hidden="1"/>
    <cellStyle name="Followed Hyperlink" xfId="1989" builtinId="9" hidden="1"/>
    <cellStyle name="Followed Hyperlink" xfId="1993" builtinId="9" hidden="1"/>
    <cellStyle name="Followed Hyperlink" xfId="1997" builtinId="9" hidden="1"/>
    <cellStyle name="Followed Hyperlink" xfId="2001" builtinId="9" hidden="1"/>
    <cellStyle name="Followed Hyperlink" xfId="2005" builtinId="9" hidden="1"/>
    <cellStyle name="Followed Hyperlink" xfId="2009" builtinId="9" hidden="1"/>
    <cellStyle name="Followed Hyperlink" xfId="2013" builtinId="9" hidden="1"/>
    <cellStyle name="Followed Hyperlink" xfId="2017" builtinId="9" hidden="1"/>
    <cellStyle name="Followed Hyperlink" xfId="2021" builtinId="9" hidden="1"/>
    <cellStyle name="Followed Hyperlink" xfId="2025" builtinId="9" hidden="1"/>
    <cellStyle name="Followed Hyperlink" xfId="2029" builtinId="9" hidden="1"/>
    <cellStyle name="Followed Hyperlink" xfId="2033" builtinId="9" hidden="1"/>
    <cellStyle name="Followed Hyperlink" xfId="2037" builtinId="9" hidden="1"/>
    <cellStyle name="Followed Hyperlink" xfId="2041" builtinId="9" hidden="1"/>
    <cellStyle name="Followed Hyperlink" xfId="2045" builtinId="9" hidden="1"/>
    <cellStyle name="Followed Hyperlink" xfId="2049" builtinId="9" hidden="1"/>
    <cellStyle name="Followed Hyperlink" xfId="2053" builtinId="9" hidden="1"/>
    <cellStyle name="Followed Hyperlink" xfId="2057" builtinId="9" hidden="1"/>
    <cellStyle name="Followed Hyperlink" xfId="2061" builtinId="9" hidden="1"/>
    <cellStyle name="Followed Hyperlink" xfId="2065" builtinId="9" hidden="1"/>
    <cellStyle name="Followed Hyperlink" xfId="2069" builtinId="9" hidden="1"/>
    <cellStyle name="Followed Hyperlink" xfId="2073" builtinId="9" hidden="1"/>
    <cellStyle name="Followed Hyperlink" xfId="2077" builtinId="9" hidden="1"/>
    <cellStyle name="Followed Hyperlink" xfId="2081" builtinId="9" hidden="1"/>
    <cellStyle name="Followed Hyperlink" xfId="2085" builtinId="9" hidden="1"/>
    <cellStyle name="Followed Hyperlink" xfId="2089" builtinId="9" hidden="1"/>
    <cellStyle name="Followed Hyperlink" xfId="2093" builtinId="9" hidden="1"/>
    <cellStyle name="Followed Hyperlink" xfId="2097" builtinId="9" hidden="1"/>
    <cellStyle name="Followed Hyperlink" xfId="2101" builtinId="9" hidden="1"/>
    <cellStyle name="Followed Hyperlink" xfId="2105" builtinId="9" hidden="1"/>
    <cellStyle name="Followed Hyperlink" xfId="2109" builtinId="9" hidden="1"/>
    <cellStyle name="Followed Hyperlink" xfId="2113" builtinId="9" hidden="1"/>
    <cellStyle name="Followed Hyperlink" xfId="2117" builtinId="9" hidden="1"/>
    <cellStyle name="Followed Hyperlink" xfId="2121" builtinId="9" hidden="1"/>
    <cellStyle name="Followed Hyperlink" xfId="2125" builtinId="9" hidden="1"/>
    <cellStyle name="Followed Hyperlink" xfId="2129" builtinId="9" hidden="1"/>
    <cellStyle name="Followed Hyperlink" xfId="2133" builtinId="9" hidden="1"/>
    <cellStyle name="Followed Hyperlink" xfId="2137" builtinId="9" hidden="1"/>
    <cellStyle name="Followed Hyperlink" xfId="2141" builtinId="9" hidden="1"/>
    <cellStyle name="Followed Hyperlink" xfId="2145" builtinId="9" hidden="1"/>
    <cellStyle name="Followed Hyperlink" xfId="2149" builtinId="9" hidden="1"/>
    <cellStyle name="Followed Hyperlink" xfId="2153" builtinId="9" hidden="1"/>
    <cellStyle name="Followed Hyperlink" xfId="2157" builtinId="9" hidden="1"/>
    <cellStyle name="Followed Hyperlink" xfId="2161" builtinId="9" hidden="1"/>
    <cellStyle name="Followed Hyperlink" xfId="2165" builtinId="9" hidden="1"/>
    <cellStyle name="Followed Hyperlink" xfId="2169" builtinId="9" hidden="1"/>
    <cellStyle name="Followed Hyperlink" xfId="2173" builtinId="9" hidden="1"/>
    <cellStyle name="Followed Hyperlink" xfId="2177" builtinId="9" hidden="1"/>
    <cellStyle name="Followed Hyperlink" xfId="2181" builtinId="9" hidden="1"/>
    <cellStyle name="Followed Hyperlink" xfId="2185" builtinId="9" hidden="1"/>
    <cellStyle name="Followed Hyperlink" xfId="2189" builtinId="9" hidden="1"/>
    <cellStyle name="Followed Hyperlink" xfId="2193" builtinId="9" hidden="1"/>
    <cellStyle name="Followed Hyperlink" xfId="2197" builtinId="9" hidden="1"/>
    <cellStyle name="Followed Hyperlink" xfId="2201" builtinId="9" hidden="1"/>
    <cellStyle name="Followed Hyperlink" xfId="2205" builtinId="9" hidden="1"/>
    <cellStyle name="Followed Hyperlink" xfId="2209" builtinId="9" hidden="1"/>
    <cellStyle name="Followed Hyperlink" xfId="2213" builtinId="9" hidden="1"/>
    <cellStyle name="Followed Hyperlink" xfId="2217" builtinId="9" hidden="1"/>
    <cellStyle name="Followed Hyperlink" xfId="2221" builtinId="9" hidden="1"/>
    <cellStyle name="Followed Hyperlink" xfId="2225" builtinId="9" hidden="1"/>
    <cellStyle name="Followed Hyperlink" xfId="2229" builtinId="9" hidden="1"/>
    <cellStyle name="Followed Hyperlink" xfId="2233" builtinId="9" hidden="1"/>
    <cellStyle name="Followed Hyperlink" xfId="2237" builtinId="9" hidden="1"/>
    <cellStyle name="Followed Hyperlink" xfId="2241" builtinId="9" hidden="1"/>
    <cellStyle name="Followed Hyperlink" xfId="2245" builtinId="9" hidden="1"/>
    <cellStyle name="Followed Hyperlink" xfId="2249" builtinId="9" hidden="1"/>
    <cellStyle name="Followed Hyperlink" xfId="2253" builtinId="9" hidden="1"/>
    <cellStyle name="Followed Hyperlink" xfId="2257" builtinId="9" hidden="1"/>
    <cellStyle name="Followed Hyperlink" xfId="2261" builtinId="9" hidden="1"/>
    <cellStyle name="Followed Hyperlink" xfId="2265" builtinId="9" hidden="1"/>
    <cellStyle name="Followed Hyperlink" xfId="2269" builtinId="9" hidden="1"/>
    <cellStyle name="Followed Hyperlink" xfId="2273" builtinId="9" hidden="1"/>
    <cellStyle name="Followed Hyperlink" xfId="2277" builtinId="9" hidden="1"/>
    <cellStyle name="Followed Hyperlink" xfId="2281" builtinId="9" hidden="1"/>
    <cellStyle name="Followed Hyperlink" xfId="2285" builtinId="9" hidden="1"/>
    <cellStyle name="Followed Hyperlink" xfId="2289" builtinId="9" hidden="1"/>
    <cellStyle name="Followed Hyperlink" xfId="2293" builtinId="9" hidden="1"/>
    <cellStyle name="Followed Hyperlink" xfId="2297" builtinId="9" hidden="1"/>
    <cellStyle name="Followed Hyperlink" xfId="2301" builtinId="9" hidden="1"/>
    <cellStyle name="Followed Hyperlink" xfId="2305" builtinId="9" hidden="1"/>
    <cellStyle name="Followed Hyperlink" xfId="2309" builtinId="9" hidden="1"/>
    <cellStyle name="Followed Hyperlink" xfId="2313" builtinId="9" hidden="1"/>
    <cellStyle name="Followed Hyperlink" xfId="2317" builtinId="9" hidden="1"/>
    <cellStyle name="Followed Hyperlink" xfId="2321" builtinId="9" hidden="1"/>
    <cellStyle name="Followed Hyperlink" xfId="2325" builtinId="9" hidden="1"/>
    <cellStyle name="Followed Hyperlink" xfId="2329" builtinId="9" hidden="1"/>
    <cellStyle name="Followed Hyperlink" xfId="2333" builtinId="9" hidden="1"/>
    <cellStyle name="Followed Hyperlink" xfId="2337" builtinId="9" hidden="1"/>
    <cellStyle name="Followed Hyperlink" xfId="2341" builtinId="9" hidden="1"/>
    <cellStyle name="Followed Hyperlink" xfId="2345" builtinId="9" hidden="1"/>
    <cellStyle name="Followed Hyperlink" xfId="2349" builtinId="9" hidden="1"/>
    <cellStyle name="Followed Hyperlink" xfId="2353" builtinId="9" hidden="1"/>
    <cellStyle name="Followed Hyperlink" xfId="2357" builtinId="9" hidden="1"/>
    <cellStyle name="Followed Hyperlink" xfId="2361" builtinId="9" hidden="1"/>
    <cellStyle name="Followed Hyperlink" xfId="2365" builtinId="9" hidden="1"/>
    <cellStyle name="Followed Hyperlink" xfId="2369" builtinId="9" hidden="1"/>
    <cellStyle name="Followed Hyperlink" xfId="2373" builtinId="9" hidden="1"/>
    <cellStyle name="Followed Hyperlink" xfId="2377" builtinId="9" hidden="1"/>
    <cellStyle name="Followed Hyperlink" xfId="2381" builtinId="9" hidden="1"/>
    <cellStyle name="Followed Hyperlink" xfId="2385" builtinId="9" hidden="1"/>
    <cellStyle name="Followed Hyperlink" xfId="2389" builtinId="9" hidden="1"/>
    <cellStyle name="Followed Hyperlink" xfId="2393" builtinId="9" hidden="1"/>
    <cellStyle name="Followed Hyperlink" xfId="2397" builtinId="9" hidden="1"/>
    <cellStyle name="Followed Hyperlink" xfId="2401" builtinId="9" hidden="1"/>
    <cellStyle name="Followed Hyperlink" xfId="2405" builtinId="9" hidden="1"/>
    <cellStyle name="Followed Hyperlink" xfId="2409" builtinId="9" hidden="1"/>
    <cellStyle name="Followed Hyperlink" xfId="2413" builtinId="9" hidden="1"/>
    <cellStyle name="Followed Hyperlink" xfId="2417" builtinId="9" hidden="1"/>
    <cellStyle name="Followed Hyperlink" xfId="2421" builtinId="9" hidden="1"/>
    <cellStyle name="Followed Hyperlink" xfId="2425" builtinId="9" hidden="1"/>
    <cellStyle name="Followed Hyperlink" xfId="2429" builtinId="9" hidden="1"/>
    <cellStyle name="Followed Hyperlink" xfId="2433" builtinId="9" hidden="1"/>
    <cellStyle name="Followed Hyperlink" xfId="2437" builtinId="9" hidden="1"/>
    <cellStyle name="Followed Hyperlink" xfId="2441" builtinId="9" hidden="1"/>
    <cellStyle name="Followed Hyperlink" xfId="2445" builtinId="9" hidden="1"/>
    <cellStyle name="Followed Hyperlink" xfId="2449" builtinId="9" hidden="1"/>
    <cellStyle name="Followed Hyperlink" xfId="2453" builtinId="9" hidden="1"/>
    <cellStyle name="Followed Hyperlink" xfId="2457" builtinId="9" hidden="1"/>
    <cellStyle name="Followed Hyperlink" xfId="2461" builtinId="9" hidden="1"/>
    <cellStyle name="Followed Hyperlink" xfId="2465" builtinId="9" hidden="1"/>
    <cellStyle name="Followed Hyperlink" xfId="2469" builtinId="9" hidden="1"/>
    <cellStyle name="Followed Hyperlink" xfId="2473" builtinId="9" hidden="1"/>
    <cellStyle name="Followed Hyperlink" xfId="2477" builtinId="9" hidden="1"/>
    <cellStyle name="Followed Hyperlink" xfId="2481" builtinId="9" hidden="1"/>
    <cellStyle name="Followed Hyperlink" xfId="2485" builtinId="9" hidden="1"/>
    <cellStyle name="Followed Hyperlink" xfId="2489" builtinId="9" hidden="1"/>
    <cellStyle name="Followed Hyperlink" xfId="2493" builtinId="9" hidden="1"/>
    <cellStyle name="Followed Hyperlink" xfId="2497" builtinId="9" hidden="1"/>
    <cellStyle name="Followed Hyperlink" xfId="2501" builtinId="9" hidden="1"/>
    <cellStyle name="Followed Hyperlink" xfId="2505" builtinId="9" hidden="1"/>
    <cellStyle name="Followed Hyperlink" xfId="2509" builtinId="9" hidden="1"/>
    <cellStyle name="Followed Hyperlink" xfId="2513" builtinId="9" hidden="1"/>
    <cellStyle name="Followed Hyperlink" xfId="2517" builtinId="9" hidden="1"/>
    <cellStyle name="Followed Hyperlink" xfId="2521" builtinId="9" hidden="1"/>
    <cellStyle name="Followed Hyperlink" xfId="2525" builtinId="9" hidden="1"/>
    <cellStyle name="Followed Hyperlink" xfId="2529" builtinId="9" hidden="1"/>
    <cellStyle name="Followed Hyperlink" xfId="2533" builtinId="9" hidden="1"/>
    <cellStyle name="Followed Hyperlink" xfId="2537" builtinId="9" hidden="1"/>
    <cellStyle name="Followed Hyperlink" xfId="2541" builtinId="9" hidden="1"/>
    <cellStyle name="Followed Hyperlink" xfId="2545" builtinId="9" hidden="1"/>
    <cellStyle name="Followed Hyperlink" xfId="2549" builtinId="9" hidden="1"/>
    <cellStyle name="Followed Hyperlink" xfId="2553" builtinId="9" hidden="1"/>
    <cellStyle name="Followed Hyperlink" xfId="2557" builtinId="9" hidden="1"/>
    <cellStyle name="Followed Hyperlink" xfId="2561" builtinId="9" hidden="1"/>
    <cellStyle name="Followed Hyperlink" xfId="2565" builtinId="9" hidden="1"/>
    <cellStyle name="Followed Hyperlink" xfId="2569" builtinId="9" hidden="1"/>
    <cellStyle name="Followed Hyperlink" xfId="2573" builtinId="9" hidden="1"/>
    <cellStyle name="Followed Hyperlink" xfId="2577" builtinId="9" hidden="1"/>
    <cellStyle name="Followed Hyperlink" xfId="2581" builtinId="9" hidden="1"/>
    <cellStyle name="Followed Hyperlink" xfId="2585" builtinId="9" hidden="1"/>
    <cellStyle name="Followed Hyperlink" xfId="2589" builtinId="9" hidden="1"/>
    <cellStyle name="Followed Hyperlink" xfId="2593" builtinId="9" hidden="1"/>
    <cellStyle name="Followed Hyperlink" xfId="2597" builtinId="9" hidden="1"/>
    <cellStyle name="Followed Hyperlink" xfId="2601" builtinId="9" hidden="1"/>
    <cellStyle name="Followed Hyperlink" xfId="2605" builtinId="9" hidden="1"/>
    <cellStyle name="Followed Hyperlink" xfId="2609" builtinId="9" hidden="1"/>
    <cellStyle name="Followed Hyperlink" xfId="2613" builtinId="9" hidden="1"/>
    <cellStyle name="Followed Hyperlink" xfId="2617" builtinId="9" hidden="1"/>
    <cellStyle name="Followed Hyperlink" xfId="2621" builtinId="9" hidden="1"/>
    <cellStyle name="Followed Hyperlink" xfId="2625" builtinId="9" hidden="1"/>
    <cellStyle name="Followed Hyperlink" xfId="2629" builtinId="9" hidden="1"/>
    <cellStyle name="Followed Hyperlink" xfId="2633" builtinId="9" hidden="1"/>
    <cellStyle name="Followed Hyperlink" xfId="2637" builtinId="9" hidden="1"/>
    <cellStyle name="Followed Hyperlink" xfId="2641" builtinId="9" hidden="1"/>
    <cellStyle name="Followed Hyperlink" xfId="2645" builtinId="9" hidden="1"/>
    <cellStyle name="Followed Hyperlink" xfId="2649" builtinId="9" hidden="1"/>
    <cellStyle name="Followed Hyperlink" xfId="2653" builtinId="9" hidden="1"/>
    <cellStyle name="Followed Hyperlink" xfId="2657" builtinId="9" hidden="1"/>
    <cellStyle name="Followed Hyperlink" xfId="2661" builtinId="9" hidden="1"/>
    <cellStyle name="Followed Hyperlink" xfId="2665" builtinId="9" hidden="1"/>
    <cellStyle name="Followed Hyperlink" xfId="2669" builtinId="9" hidden="1"/>
    <cellStyle name="Followed Hyperlink" xfId="2673" builtinId="9" hidden="1"/>
    <cellStyle name="Followed Hyperlink" xfId="2677" builtinId="9" hidden="1"/>
    <cellStyle name="Followed Hyperlink" xfId="2681" builtinId="9" hidden="1"/>
    <cellStyle name="Followed Hyperlink" xfId="2685" builtinId="9" hidden="1"/>
    <cellStyle name="Followed Hyperlink" xfId="2689" builtinId="9" hidden="1"/>
    <cellStyle name="Followed Hyperlink" xfId="2693" builtinId="9" hidden="1"/>
    <cellStyle name="Followed Hyperlink" xfId="2697" builtinId="9" hidden="1"/>
    <cellStyle name="Followed Hyperlink" xfId="2701" builtinId="9" hidden="1"/>
    <cellStyle name="Followed Hyperlink" xfId="2705" builtinId="9" hidden="1"/>
    <cellStyle name="Followed Hyperlink" xfId="2709" builtinId="9" hidden="1"/>
    <cellStyle name="Followed Hyperlink" xfId="2713" builtinId="9" hidden="1"/>
    <cellStyle name="Followed Hyperlink" xfId="2717" builtinId="9" hidden="1"/>
    <cellStyle name="Followed Hyperlink" xfId="2721" builtinId="9" hidden="1"/>
    <cellStyle name="Followed Hyperlink" xfId="2725" builtinId="9" hidden="1"/>
    <cellStyle name="Followed Hyperlink" xfId="2729" builtinId="9" hidden="1"/>
    <cellStyle name="Followed Hyperlink" xfId="2733" builtinId="9" hidden="1"/>
    <cellStyle name="Followed Hyperlink" xfId="2737" builtinId="9" hidden="1"/>
    <cellStyle name="Followed Hyperlink" xfId="2741" builtinId="9" hidden="1"/>
    <cellStyle name="Followed Hyperlink" xfId="2745" builtinId="9" hidden="1"/>
    <cellStyle name="Followed Hyperlink" xfId="2749" builtinId="9" hidden="1"/>
    <cellStyle name="Followed Hyperlink" xfId="2753" builtinId="9" hidden="1"/>
    <cellStyle name="Followed Hyperlink" xfId="2757" builtinId="9" hidden="1"/>
    <cellStyle name="Followed Hyperlink" xfId="2761" builtinId="9" hidden="1"/>
    <cellStyle name="Followed Hyperlink" xfId="2765" builtinId="9" hidden="1"/>
    <cellStyle name="Followed Hyperlink" xfId="2769" builtinId="9" hidden="1"/>
    <cellStyle name="Followed Hyperlink" xfId="2773" builtinId="9" hidden="1"/>
    <cellStyle name="Followed Hyperlink" xfId="2777" builtinId="9" hidden="1"/>
    <cellStyle name="Followed Hyperlink" xfId="2781" builtinId="9" hidden="1"/>
    <cellStyle name="Followed Hyperlink" xfId="2785" builtinId="9" hidden="1"/>
    <cellStyle name="Followed Hyperlink" xfId="2789" builtinId="9" hidden="1"/>
    <cellStyle name="Followed Hyperlink" xfId="2793" builtinId="9" hidden="1"/>
    <cellStyle name="Followed Hyperlink" xfId="2797" builtinId="9" hidden="1"/>
    <cellStyle name="Followed Hyperlink" xfId="2801" builtinId="9" hidden="1"/>
    <cellStyle name="Followed Hyperlink" xfId="2805" builtinId="9" hidden="1"/>
    <cellStyle name="Followed Hyperlink" xfId="2809" builtinId="9" hidden="1"/>
    <cellStyle name="Followed Hyperlink" xfId="2813" builtinId="9" hidden="1"/>
    <cellStyle name="Followed Hyperlink" xfId="2817" builtinId="9" hidden="1"/>
    <cellStyle name="Followed Hyperlink" xfId="2821" builtinId="9" hidden="1"/>
    <cellStyle name="Followed Hyperlink" xfId="2825" builtinId="9" hidden="1"/>
    <cellStyle name="Followed Hyperlink" xfId="2829" builtinId="9" hidden="1"/>
    <cellStyle name="Followed Hyperlink" xfId="2833" builtinId="9" hidden="1"/>
    <cellStyle name="Followed Hyperlink" xfId="2837" builtinId="9" hidden="1"/>
    <cellStyle name="Followed Hyperlink" xfId="2841" builtinId="9" hidden="1"/>
    <cellStyle name="Followed Hyperlink" xfId="2845" builtinId="9" hidden="1"/>
    <cellStyle name="Followed Hyperlink" xfId="2849" builtinId="9" hidden="1"/>
    <cellStyle name="Followed Hyperlink" xfId="2853" builtinId="9" hidden="1"/>
    <cellStyle name="Followed Hyperlink" xfId="2857" builtinId="9" hidden="1"/>
    <cellStyle name="Followed Hyperlink" xfId="2861" builtinId="9" hidden="1"/>
    <cellStyle name="Followed Hyperlink" xfId="2865" builtinId="9" hidden="1"/>
    <cellStyle name="Followed Hyperlink" xfId="2869" builtinId="9" hidden="1"/>
    <cellStyle name="Followed Hyperlink" xfId="2873" builtinId="9" hidden="1"/>
    <cellStyle name="Followed Hyperlink" xfId="2877" builtinId="9" hidden="1"/>
    <cellStyle name="Followed Hyperlink" xfId="2881" builtinId="9" hidden="1"/>
    <cellStyle name="Followed Hyperlink" xfId="2885" builtinId="9" hidden="1"/>
    <cellStyle name="Followed Hyperlink" xfId="2889" builtinId="9" hidden="1"/>
    <cellStyle name="Followed Hyperlink" xfId="2893" builtinId="9" hidden="1"/>
    <cellStyle name="Followed Hyperlink" xfId="2897" builtinId="9" hidden="1"/>
    <cellStyle name="Followed Hyperlink" xfId="2901" builtinId="9" hidden="1"/>
    <cellStyle name="Followed Hyperlink" xfId="2905" builtinId="9" hidden="1"/>
    <cellStyle name="Followed Hyperlink" xfId="2909" builtinId="9" hidden="1"/>
    <cellStyle name="Followed Hyperlink" xfId="2913" builtinId="9" hidden="1"/>
    <cellStyle name="Followed Hyperlink" xfId="2917" builtinId="9" hidden="1"/>
    <cellStyle name="Followed Hyperlink" xfId="2921" builtinId="9" hidden="1"/>
    <cellStyle name="Followed Hyperlink" xfId="2925" builtinId="9" hidden="1"/>
    <cellStyle name="Followed Hyperlink" xfId="2929" builtinId="9" hidden="1"/>
    <cellStyle name="Followed Hyperlink" xfId="2933" builtinId="9" hidden="1"/>
    <cellStyle name="Followed Hyperlink" xfId="2937" builtinId="9" hidden="1"/>
    <cellStyle name="Followed Hyperlink" xfId="2941" builtinId="9" hidden="1"/>
    <cellStyle name="Followed Hyperlink" xfId="2945" builtinId="9" hidden="1"/>
    <cellStyle name="Followed Hyperlink" xfId="2949" builtinId="9" hidden="1"/>
    <cellStyle name="Followed Hyperlink" xfId="2953" builtinId="9" hidden="1"/>
    <cellStyle name="Followed Hyperlink" xfId="2957" builtinId="9" hidden="1"/>
    <cellStyle name="Followed Hyperlink" xfId="2961" builtinId="9" hidden="1"/>
    <cellStyle name="Followed Hyperlink" xfId="2965" builtinId="9" hidden="1"/>
    <cellStyle name="Followed Hyperlink" xfId="2969" builtinId="9" hidden="1"/>
    <cellStyle name="Followed Hyperlink" xfId="2973" builtinId="9" hidden="1"/>
    <cellStyle name="Followed Hyperlink" xfId="2977" builtinId="9" hidden="1"/>
    <cellStyle name="Followed Hyperlink" xfId="2981" builtinId="9" hidden="1"/>
    <cellStyle name="Followed Hyperlink" xfId="2985" builtinId="9" hidden="1"/>
    <cellStyle name="Followed Hyperlink" xfId="2989" builtinId="9" hidden="1"/>
    <cellStyle name="Followed Hyperlink" xfId="2993" builtinId="9" hidden="1"/>
    <cellStyle name="Followed Hyperlink" xfId="2997" builtinId="9" hidden="1"/>
    <cellStyle name="Followed Hyperlink" xfId="3001" builtinId="9" hidden="1"/>
    <cellStyle name="Followed Hyperlink" xfId="3005" builtinId="9" hidden="1"/>
    <cellStyle name="Followed Hyperlink" xfId="3009" builtinId="9" hidden="1"/>
    <cellStyle name="Followed Hyperlink" xfId="3013" builtinId="9" hidden="1"/>
    <cellStyle name="Followed Hyperlink" xfId="3017" builtinId="9" hidden="1"/>
    <cellStyle name="Followed Hyperlink" xfId="3021" builtinId="9" hidden="1"/>
    <cellStyle name="Followed Hyperlink" xfId="3025" builtinId="9" hidden="1"/>
    <cellStyle name="Followed Hyperlink" xfId="3029" builtinId="9" hidden="1"/>
    <cellStyle name="Followed Hyperlink" xfId="3033" builtinId="9" hidden="1"/>
    <cellStyle name="Followed Hyperlink" xfId="3037" builtinId="9" hidden="1"/>
    <cellStyle name="Followed Hyperlink" xfId="3041" builtinId="9" hidden="1"/>
    <cellStyle name="Followed Hyperlink" xfId="3045" builtinId="9" hidden="1"/>
    <cellStyle name="Followed Hyperlink" xfId="3049" builtinId="9" hidden="1"/>
    <cellStyle name="Followed Hyperlink" xfId="3053" builtinId="9" hidden="1"/>
    <cellStyle name="Followed Hyperlink" xfId="3057" builtinId="9" hidden="1"/>
    <cellStyle name="Followed Hyperlink" xfId="3061" builtinId="9" hidden="1"/>
    <cellStyle name="Followed Hyperlink" xfId="3065" builtinId="9" hidden="1"/>
    <cellStyle name="Followed Hyperlink" xfId="3069" builtinId="9" hidden="1"/>
    <cellStyle name="Followed Hyperlink" xfId="3073" builtinId="9" hidden="1"/>
    <cellStyle name="Followed Hyperlink" xfId="3077" builtinId="9" hidden="1"/>
    <cellStyle name="Followed Hyperlink" xfId="3081" builtinId="9" hidden="1"/>
    <cellStyle name="Followed Hyperlink" xfId="3085" builtinId="9" hidden="1"/>
    <cellStyle name="Followed Hyperlink" xfId="3089" builtinId="9" hidden="1"/>
    <cellStyle name="Followed Hyperlink" xfId="3093" builtinId="9" hidden="1"/>
    <cellStyle name="Followed Hyperlink" xfId="3097" builtinId="9" hidden="1"/>
    <cellStyle name="Followed Hyperlink" xfId="3101" builtinId="9" hidden="1"/>
    <cellStyle name="Followed Hyperlink" xfId="3105" builtinId="9" hidden="1"/>
    <cellStyle name="Followed Hyperlink" xfId="3109" builtinId="9" hidden="1"/>
    <cellStyle name="Followed Hyperlink" xfId="3113" builtinId="9" hidden="1"/>
    <cellStyle name="Followed Hyperlink" xfId="3117" builtinId="9" hidden="1"/>
    <cellStyle name="Followed Hyperlink" xfId="3121" builtinId="9" hidden="1"/>
    <cellStyle name="Followed Hyperlink" xfId="3125" builtinId="9" hidden="1"/>
    <cellStyle name="Followed Hyperlink" xfId="3129" builtinId="9" hidden="1"/>
    <cellStyle name="Followed Hyperlink" xfId="3133" builtinId="9" hidden="1"/>
    <cellStyle name="Followed Hyperlink" xfId="3137" builtinId="9" hidden="1"/>
    <cellStyle name="Followed Hyperlink" xfId="3141" builtinId="9" hidden="1"/>
    <cellStyle name="Followed Hyperlink" xfId="3145" builtinId="9" hidden="1"/>
    <cellStyle name="Followed Hyperlink" xfId="3149" builtinId="9" hidden="1"/>
    <cellStyle name="Followed Hyperlink" xfId="3153" builtinId="9" hidden="1"/>
    <cellStyle name="Followed Hyperlink" xfId="3157" builtinId="9" hidden="1"/>
    <cellStyle name="Followed Hyperlink" xfId="3161" builtinId="9" hidden="1"/>
    <cellStyle name="Followed Hyperlink" xfId="3165" builtinId="9" hidden="1"/>
    <cellStyle name="Followed Hyperlink" xfId="3169" builtinId="9" hidden="1"/>
    <cellStyle name="Followed Hyperlink" xfId="3173" builtinId="9" hidden="1"/>
    <cellStyle name="Followed Hyperlink" xfId="3177" builtinId="9" hidden="1"/>
    <cellStyle name="Followed Hyperlink" xfId="3181" builtinId="9" hidden="1"/>
    <cellStyle name="Followed Hyperlink" xfId="3185" builtinId="9" hidden="1"/>
    <cellStyle name="Followed Hyperlink" xfId="3189" builtinId="9" hidden="1"/>
    <cellStyle name="Followed Hyperlink" xfId="3193" builtinId="9" hidden="1"/>
    <cellStyle name="Followed Hyperlink" xfId="3197" builtinId="9" hidden="1"/>
    <cellStyle name="Followed Hyperlink" xfId="3201" builtinId="9" hidden="1"/>
    <cellStyle name="Followed Hyperlink" xfId="3205" builtinId="9" hidden="1"/>
    <cellStyle name="Followed Hyperlink" xfId="3209" builtinId="9" hidden="1"/>
    <cellStyle name="Followed Hyperlink" xfId="3213" builtinId="9" hidden="1"/>
    <cellStyle name="Followed Hyperlink" xfId="3217" builtinId="9" hidden="1"/>
    <cellStyle name="Followed Hyperlink" xfId="3221" builtinId="9" hidden="1"/>
    <cellStyle name="Followed Hyperlink" xfId="3225" builtinId="9" hidden="1"/>
    <cellStyle name="Followed Hyperlink" xfId="3229" builtinId="9" hidden="1"/>
    <cellStyle name="Followed Hyperlink" xfId="3233" builtinId="9" hidden="1"/>
    <cellStyle name="Followed Hyperlink" xfId="3237" builtinId="9" hidden="1"/>
    <cellStyle name="Followed Hyperlink" xfId="3241" builtinId="9" hidden="1"/>
    <cellStyle name="Followed Hyperlink" xfId="3245" builtinId="9" hidden="1"/>
    <cellStyle name="Followed Hyperlink" xfId="3249" builtinId="9" hidden="1"/>
    <cellStyle name="Followed Hyperlink" xfId="3253" builtinId="9" hidden="1"/>
    <cellStyle name="Followed Hyperlink" xfId="3257" builtinId="9" hidden="1"/>
    <cellStyle name="Followed Hyperlink" xfId="3261" builtinId="9" hidden="1"/>
    <cellStyle name="Followed Hyperlink" xfId="3265" builtinId="9" hidden="1"/>
    <cellStyle name="Followed Hyperlink" xfId="3269" builtinId="9" hidden="1"/>
    <cellStyle name="Followed Hyperlink" xfId="3273" builtinId="9" hidden="1"/>
    <cellStyle name="Followed Hyperlink" xfId="3277" builtinId="9" hidden="1"/>
    <cellStyle name="Followed Hyperlink" xfId="3281" builtinId="9" hidden="1"/>
    <cellStyle name="Followed Hyperlink" xfId="3285" builtinId="9" hidden="1"/>
    <cellStyle name="Followed Hyperlink" xfId="3289" builtinId="9" hidden="1"/>
    <cellStyle name="Followed Hyperlink" xfId="3293" builtinId="9" hidden="1"/>
    <cellStyle name="Followed Hyperlink" xfId="3297" builtinId="9" hidden="1"/>
    <cellStyle name="Followed Hyperlink" xfId="3301" builtinId="9" hidden="1"/>
    <cellStyle name="Followed Hyperlink" xfId="3305" builtinId="9" hidden="1"/>
    <cellStyle name="Followed Hyperlink" xfId="3309" builtinId="9" hidden="1"/>
    <cellStyle name="Followed Hyperlink" xfId="3313" builtinId="9" hidden="1"/>
    <cellStyle name="Followed Hyperlink" xfId="3317" builtinId="9" hidden="1"/>
    <cellStyle name="Followed Hyperlink" xfId="3321" builtinId="9" hidden="1"/>
    <cellStyle name="Followed Hyperlink" xfId="3325" builtinId="9" hidden="1"/>
    <cellStyle name="Followed Hyperlink" xfId="3329" builtinId="9" hidden="1"/>
    <cellStyle name="Followed Hyperlink" xfId="3333" builtinId="9" hidden="1"/>
    <cellStyle name="Followed Hyperlink" xfId="3337" builtinId="9" hidden="1"/>
    <cellStyle name="Followed Hyperlink" xfId="3341" builtinId="9" hidden="1"/>
    <cellStyle name="Followed Hyperlink" xfId="3345" builtinId="9" hidden="1"/>
    <cellStyle name="Followed Hyperlink" xfId="3349" builtinId="9" hidden="1"/>
    <cellStyle name="Followed Hyperlink" xfId="3353" builtinId="9" hidden="1"/>
    <cellStyle name="Followed Hyperlink" xfId="3357" builtinId="9" hidden="1"/>
    <cellStyle name="Followed Hyperlink" xfId="3361" builtinId="9" hidden="1"/>
    <cellStyle name="Followed Hyperlink" xfId="3365" builtinId="9" hidden="1"/>
    <cellStyle name="Followed Hyperlink" xfId="3369" builtinId="9" hidden="1"/>
    <cellStyle name="Followed Hyperlink" xfId="3373" builtinId="9" hidden="1"/>
    <cellStyle name="Followed Hyperlink" xfId="3377" builtinId="9" hidden="1"/>
    <cellStyle name="Followed Hyperlink" xfId="3381" builtinId="9" hidden="1"/>
    <cellStyle name="Followed Hyperlink" xfId="3385" builtinId="9" hidden="1"/>
    <cellStyle name="Followed Hyperlink" xfId="3389" builtinId="9" hidden="1"/>
    <cellStyle name="Followed Hyperlink" xfId="3393" builtinId="9" hidden="1"/>
    <cellStyle name="Followed Hyperlink" xfId="3397" builtinId="9" hidden="1"/>
    <cellStyle name="Followed Hyperlink" xfId="3401" builtinId="9" hidden="1"/>
    <cellStyle name="Followed Hyperlink" xfId="3405" builtinId="9" hidden="1"/>
    <cellStyle name="Followed Hyperlink" xfId="3409" builtinId="9" hidden="1"/>
    <cellStyle name="Followed Hyperlink" xfId="3413" builtinId="9" hidden="1"/>
    <cellStyle name="Followed Hyperlink" xfId="3417" builtinId="9" hidden="1"/>
    <cellStyle name="Followed Hyperlink" xfId="3421" builtinId="9" hidden="1"/>
    <cellStyle name="Followed Hyperlink" xfId="3425" builtinId="9" hidden="1"/>
    <cellStyle name="Followed Hyperlink" xfId="3429" builtinId="9" hidden="1"/>
    <cellStyle name="Followed Hyperlink" xfId="3433" builtinId="9" hidden="1"/>
    <cellStyle name="Followed Hyperlink" xfId="3437" builtinId="9" hidden="1"/>
    <cellStyle name="Followed Hyperlink" xfId="3441" builtinId="9" hidden="1"/>
    <cellStyle name="Followed Hyperlink" xfId="3445" builtinId="9" hidden="1"/>
    <cellStyle name="Followed Hyperlink" xfId="3449" builtinId="9" hidden="1"/>
    <cellStyle name="Followed Hyperlink" xfId="3453" builtinId="9" hidden="1"/>
    <cellStyle name="Followed Hyperlink" xfId="3457" builtinId="9" hidden="1"/>
    <cellStyle name="Followed Hyperlink" xfId="3461" builtinId="9" hidden="1"/>
    <cellStyle name="Followed Hyperlink" xfId="3465" builtinId="9" hidden="1"/>
    <cellStyle name="Followed Hyperlink" xfId="3469" builtinId="9" hidden="1"/>
    <cellStyle name="Followed Hyperlink" xfId="3473" builtinId="9" hidden="1"/>
    <cellStyle name="Followed Hyperlink" xfId="3477" builtinId="9" hidden="1"/>
    <cellStyle name="Followed Hyperlink" xfId="3481" builtinId="9" hidden="1"/>
    <cellStyle name="Followed Hyperlink" xfId="3485" builtinId="9" hidden="1"/>
    <cellStyle name="Followed Hyperlink" xfId="3489" builtinId="9" hidden="1"/>
    <cellStyle name="Followed Hyperlink" xfId="3493" builtinId="9" hidden="1"/>
    <cellStyle name="Followed Hyperlink" xfId="3497" builtinId="9" hidden="1"/>
    <cellStyle name="Followed Hyperlink" xfId="3501" builtinId="9" hidden="1"/>
    <cellStyle name="Followed Hyperlink" xfId="3505" builtinId="9" hidden="1"/>
    <cellStyle name="Followed Hyperlink" xfId="3509" builtinId="9" hidden="1"/>
    <cellStyle name="Followed Hyperlink" xfId="3513" builtinId="9" hidden="1"/>
    <cellStyle name="Followed Hyperlink" xfId="3517" builtinId="9" hidden="1"/>
    <cellStyle name="Followed Hyperlink" xfId="3521" builtinId="9" hidden="1"/>
    <cellStyle name="Followed Hyperlink" xfId="3525" builtinId="9" hidden="1"/>
    <cellStyle name="Followed Hyperlink" xfId="3529" builtinId="9" hidden="1"/>
    <cellStyle name="Followed Hyperlink" xfId="3533" builtinId="9" hidden="1"/>
    <cellStyle name="Followed Hyperlink" xfId="3537" builtinId="9" hidden="1"/>
    <cellStyle name="Followed Hyperlink" xfId="3541" builtinId="9" hidden="1"/>
    <cellStyle name="Followed Hyperlink" xfId="3545" builtinId="9" hidden="1"/>
    <cellStyle name="Followed Hyperlink" xfId="3549" builtinId="9" hidden="1"/>
    <cellStyle name="Followed Hyperlink" xfId="3553" builtinId="9" hidden="1"/>
    <cellStyle name="Followed Hyperlink" xfId="3557" builtinId="9" hidden="1"/>
    <cellStyle name="Followed Hyperlink" xfId="3561" builtinId="9" hidden="1"/>
    <cellStyle name="Followed Hyperlink" xfId="3565" builtinId="9" hidden="1"/>
    <cellStyle name="Followed Hyperlink" xfId="3569" builtinId="9" hidden="1"/>
    <cellStyle name="Followed Hyperlink" xfId="3573" builtinId="9" hidden="1"/>
    <cellStyle name="Followed Hyperlink" xfId="3577" builtinId="9" hidden="1"/>
    <cellStyle name="Followed Hyperlink" xfId="3581" builtinId="9" hidden="1"/>
    <cellStyle name="Followed Hyperlink" xfId="3585" builtinId="9" hidden="1"/>
    <cellStyle name="Followed Hyperlink" xfId="3589" builtinId="9" hidden="1"/>
    <cellStyle name="Followed Hyperlink" xfId="3593" builtinId="9" hidden="1"/>
    <cellStyle name="Followed Hyperlink" xfId="3597" builtinId="9" hidden="1"/>
    <cellStyle name="Followed Hyperlink" xfId="3601" builtinId="9" hidden="1"/>
    <cellStyle name="Followed Hyperlink" xfId="3605" builtinId="9" hidden="1"/>
    <cellStyle name="Followed Hyperlink" xfId="3609" builtinId="9" hidden="1"/>
    <cellStyle name="Followed Hyperlink" xfId="3613" builtinId="9" hidden="1"/>
    <cellStyle name="Followed Hyperlink" xfId="3617" builtinId="9" hidden="1"/>
    <cellStyle name="Followed Hyperlink" xfId="3621" builtinId="9" hidden="1"/>
    <cellStyle name="Followed Hyperlink" xfId="3625" builtinId="9" hidden="1"/>
    <cellStyle name="Followed Hyperlink" xfId="3629" builtinId="9" hidden="1"/>
    <cellStyle name="Followed Hyperlink" xfId="3633" builtinId="9" hidden="1"/>
    <cellStyle name="Followed Hyperlink" xfId="3637" builtinId="9" hidden="1"/>
    <cellStyle name="Followed Hyperlink" xfId="3641" builtinId="9" hidden="1"/>
    <cellStyle name="Followed Hyperlink" xfId="3645" builtinId="9" hidden="1"/>
    <cellStyle name="Followed Hyperlink" xfId="3649" builtinId="9" hidden="1"/>
    <cellStyle name="Followed Hyperlink" xfId="3653" builtinId="9" hidden="1"/>
    <cellStyle name="Followed Hyperlink" xfId="3657" builtinId="9" hidden="1"/>
    <cellStyle name="Followed Hyperlink" xfId="3661" builtinId="9" hidden="1"/>
    <cellStyle name="Followed Hyperlink" xfId="3665" builtinId="9" hidden="1"/>
    <cellStyle name="Followed Hyperlink" xfId="3669" builtinId="9" hidden="1"/>
    <cellStyle name="Followed Hyperlink" xfId="3673" builtinId="9" hidden="1"/>
    <cellStyle name="Followed Hyperlink" xfId="3677" builtinId="9" hidden="1"/>
    <cellStyle name="Followed Hyperlink" xfId="3681" builtinId="9" hidden="1"/>
    <cellStyle name="Followed Hyperlink" xfId="3685" builtinId="9" hidden="1"/>
    <cellStyle name="Followed Hyperlink" xfId="3689" builtinId="9" hidden="1"/>
    <cellStyle name="Followed Hyperlink" xfId="3693" builtinId="9" hidden="1"/>
    <cellStyle name="Followed Hyperlink" xfId="3697" builtinId="9" hidden="1"/>
    <cellStyle name="Followed Hyperlink" xfId="3701" builtinId="9" hidden="1"/>
    <cellStyle name="Followed Hyperlink" xfId="3705" builtinId="9" hidden="1"/>
    <cellStyle name="Followed Hyperlink" xfId="3709" builtinId="9" hidden="1"/>
    <cellStyle name="Followed Hyperlink" xfId="3713" builtinId="9" hidden="1"/>
    <cellStyle name="Followed Hyperlink" xfId="3717" builtinId="9" hidden="1"/>
    <cellStyle name="Followed Hyperlink" xfId="3721" builtinId="9" hidden="1"/>
    <cellStyle name="Followed Hyperlink" xfId="3725" builtinId="9" hidden="1"/>
    <cellStyle name="Followed Hyperlink" xfId="3729" builtinId="9" hidden="1"/>
    <cellStyle name="Followed Hyperlink" xfId="3733" builtinId="9" hidden="1"/>
    <cellStyle name="Followed Hyperlink" xfId="3737" builtinId="9" hidden="1"/>
    <cellStyle name="Followed Hyperlink" xfId="3741" builtinId="9" hidden="1"/>
    <cellStyle name="Followed Hyperlink" xfId="3745" builtinId="9" hidden="1"/>
    <cellStyle name="Followed Hyperlink" xfId="3749" builtinId="9" hidden="1"/>
    <cellStyle name="Followed Hyperlink" xfId="3753" builtinId="9" hidden="1"/>
    <cellStyle name="Followed Hyperlink" xfId="3757" builtinId="9" hidden="1"/>
    <cellStyle name="Followed Hyperlink" xfId="3761" builtinId="9" hidden="1"/>
    <cellStyle name="Followed Hyperlink" xfId="3765" builtinId="9" hidden="1"/>
    <cellStyle name="Followed Hyperlink" xfId="3769" builtinId="9" hidden="1"/>
    <cellStyle name="Followed Hyperlink" xfId="3773" builtinId="9" hidden="1"/>
    <cellStyle name="Followed Hyperlink" xfId="3777" builtinId="9" hidden="1"/>
    <cellStyle name="Followed Hyperlink" xfId="3781" builtinId="9" hidden="1"/>
    <cellStyle name="Followed Hyperlink" xfId="3785" builtinId="9" hidden="1"/>
    <cellStyle name="Followed Hyperlink" xfId="3789" builtinId="9" hidden="1"/>
    <cellStyle name="Followed Hyperlink" xfId="3793" builtinId="9" hidden="1"/>
    <cellStyle name="Followed Hyperlink" xfId="3797" builtinId="9" hidden="1"/>
    <cellStyle name="Followed Hyperlink" xfId="3801" builtinId="9" hidden="1"/>
    <cellStyle name="Followed Hyperlink" xfId="3805" builtinId="9" hidden="1"/>
    <cellStyle name="Followed Hyperlink" xfId="3809" builtinId="9" hidden="1"/>
    <cellStyle name="Followed Hyperlink" xfId="3813" builtinId="9" hidden="1"/>
    <cellStyle name="Followed Hyperlink" xfId="3817" builtinId="9" hidden="1"/>
    <cellStyle name="Followed Hyperlink" xfId="3821" builtinId="9" hidden="1"/>
    <cellStyle name="Followed Hyperlink" xfId="3825" builtinId="9" hidden="1"/>
    <cellStyle name="Followed Hyperlink" xfId="3829" builtinId="9" hidden="1"/>
    <cellStyle name="Followed Hyperlink" xfId="3833" builtinId="9" hidden="1"/>
    <cellStyle name="Followed Hyperlink" xfId="3837" builtinId="9" hidden="1"/>
    <cellStyle name="Followed Hyperlink" xfId="3841" builtinId="9" hidden="1"/>
    <cellStyle name="Followed Hyperlink" xfId="3845" builtinId="9" hidden="1"/>
    <cellStyle name="Followed Hyperlink" xfId="3849" builtinId="9" hidden="1"/>
    <cellStyle name="Followed Hyperlink" xfId="3853" builtinId="9" hidden="1"/>
    <cellStyle name="Followed Hyperlink" xfId="3857" builtinId="9" hidden="1"/>
    <cellStyle name="Followed Hyperlink" xfId="3861" builtinId="9" hidden="1"/>
    <cellStyle name="Followed Hyperlink" xfId="3865" builtinId="9" hidden="1"/>
    <cellStyle name="Followed Hyperlink" xfId="3869" builtinId="9" hidden="1"/>
    <cellStyle name="Followed Hyperlink" xfId="3873" builtinId="9" hidden="1"/>
    <cellStyle name="Followed Hyperlink" xfId="3877" builtinId="9" hidden="1"/>
    <cellStyle name="Followed Hyperlink" xfId="3881" builtinId="9" hidden="1"/>
    <cellStyle name="Followed Hyperlink" xfId="3885" builtinId="9" hidden="1"/>
    <cellStyle name="Followed Hyperlink" xfId="3889" builtinId="9" hidden="1"/>
    <cellStyle name="Followed Hyperlink" xfId="3893" builtinId="9" hidden="1"/>
    <cellStyle name="Followed Hyperlink" xfId="3897" builtinId="9" hidden="1"/>
    <cellStyle name="Followed Hyperlink" xfId="3901" builtinId="9" hidden="1"/>
    <cellStyle name="Followed Hyperlink" xfId="3905" builtinId="9" hidden="1"/>
    <cellStyle name="Followed Hyperlink" xfId="3909" builtinId="9" hidden="1"/>
    <cellStyle name="Followed Hyperlink" xfId="3913" builtinId="9" hidden="1"/>
    <cellStyle name="Followed Hyperlink" xfId="3917" builtinId="9" hidden="1"/>
    <cellStyle name="Followed Hyperlink" xfId="3921" builtinId="9" hidden="1"/>
    <cellStyle name="Followed Hyperlink" xfId="3925" builtinId="9" hidden="1"/>
    <cellStyle name="Followed Hyperlink" xfId="3929" builtinId="9" hidden="1"/>
    <cellStyle name="Followed Hyperlink" xfId="3933" builtinId="9" hidden="1"/>
    <cellStyle name="Followed Hyperlink" xfId="3937" builtinId="9" hidden="1"/>
    <cellStyle name="Followed Hyperlink" xfId="3941" builtinId="9" hidden="1"/>
    <cellStyle name="Followed Hyperlink" xfId="3945" builtinId="9" hidden="1"/>
    <cellStyle name="Followed Hyperlink" xfId="3949" builtinId="9" hidden="1"/>
    <cellStyle name="Followed Hyperlink" xfId="3953" builtinId="9" hidden="1"/>
    <cellStyle name="Followed Hyperlink" xfId="3957" builtinId="9" hidden="1"/>
    <cellStyle name="Followed Hyperlink" xfId="3961" builtinId="9" hidden="1"/>
    <cellStyle name="Followed Hyperlink" xfId="3965" builtinId="9" hidden="1"/>
    <cellStyle name="Followed Hyperlink" xfId="3969" builtinId="9" hidden="1"/>
    <cellStyle name="Followed Hyperlink" xfId="3973" builtinId="9" hidden="1"/>
    <cellStyle name="Followed Hyperlink" xfId="3977" builtinId="9" hidden="1"/>
    <cellStyle name="Followed Hyperlink" xfId="3981" builtinId="9" hidden="1"/>
    <cellStyle name="Followed Hyperlink" xfId="3985" builtinId="9" hidden="1"/>
    <cellStyle name="Followed Hyperlink" xfId="3989" builtinId="9" hidden="1"/>
    <cellStyle name="Followed Hyperlink" xfId="3993" builtinId="9" hidden="1"/>
    <cellStyle name="Followed Hyperlink" xfId="3997" builtinId="9" hidden="1"/>
    <cellStyle name="Followed Hyperlink" xfId="4001" builtinId="9" hidden="1"/>
    <cellStyle name="Followed Hyperlink" xfId="4005" builtinId="9" hidden="1"/>
    <cellStyle name="Followed Hyperlink" xfId="4009" builtinId="9" hidden="1"/>
    <cellStyle name="Followed Hyperlink" xfId="4013" builtinId="9" hidden="1"/>
    <cellStyle name="Followed Hyperlink" xfId="4017" builtinId="9" hidden="1"/>
    <cellStyle name="Followed Hyperlink" xfId="4021" builtinId="9" hidden="1"/>
    <cellStyle name="Followed Hyperlink" xfId="4025" builtinId="9" hidden="1"/>
    <cellStyle name="Followed Hyperlink" xfId="4029" builtinId="9" hidden="1"/>
    <cellStyle name="Followed Hyperlink" xfId="4033" builtinId="9" hidden="1"/>
    <cellStyle name="Followed Hyperlink" xfId="4037" builtinId="9" hidden="1"/>
    <cellStyle name="Followed Hyperlink" xfId="4041" builtinId="9" hidden="1"/>
    <cellStyle name="Followed Hyperlink" xfId="4045" builtinId="9" hidden="1"/>
    <cellStyle name="Followed Hyperlink" xfId="4049" builtinId="9" hidden="1"/>
    <cellStyle name="Followed Hyperlink" xfId="4053" builtinId="9" hidden="1"/>
    <cellStyle name="Followed Hyperlink" xfId="4057" builtinId="9" hidden="1"/>
    <cellStyle name="Followed Hyperlink" xfId="4061" builtinId="9" hidden="1"/>
    <cellStyle name="Followed Hyperlink" xfId="4065" builtinId="9" hidden="1"/>
    <cellStyle name="Followed Hyperlink" xfId="4069" builtinId="9" hidden="1"/>
    <cellStyle name="Followed Hyperlink" xfId="4073" builtinId="9" hidden="1"/>
    <cellStyle name="Followed Hyperlink" xfId="4077" builtinId="9" hidden="1"/>
    <cellStyle name="Followed Hyperlink" xfId="4081" builtinId="9" hidden="1"/>
    <cellStyle name="Followed Hyperlink" xfId="4085" builtinId="9" hidden="1"/>
    <cellStyle name="Followed Hyperlink" xfId="4089" builtinId="9" hidden="1"/>
    <cellStyle name="Followed Hyperlink" xfId="4093" builtinId="9" hidden="1"/>
    <cellStyle name="Followed Hyperlink" xfId="4097" builtinId="9" hidden="1"/>
    <cellStyle name="Followed Hyperlink" xfId="4101" builtinId="9" hidden="1"/>
    <cellStyle name="Followed Hyperlink" xfId="4105" builtinId="9" hidden="1"/>
    <cellStyle name="Followed Hyperlink" xfId="4109" builtinId="9" hidden="1"/>
    <cellStyle name="Followed Hyperlink" xfId="4113" builtinId="9" hidden="1"/>
    <cellStyle name="Followed Hyperlink" xfId="4117" builtinId="9" hidden="1"/>
    <cellStyle name="Followed Hyperlink" xfId="4121" builtinId="9" hidden="1"/>
    <cellStyle name="Followed Hyperlink" xfId="4125" builtinId="9" hidden="1"/>
    <cellStyle name="Followed Hyperlink" xfId="4129" builtinId="9" hidden="1"/>
    <cellStyle name="Followed Hyperlink" xfId="4133" builtinId="9" hidden="1"/>
    <cellStyle name="Followed Hyperlink" xfId="4137" builtinId="9" hidden="1"/>
    <cellStyle name="Followed Hyperlink" xfId="4141" builtinId="9" hidden="1"/>
    <cellStyle name="Followed Hyperlink" xfId="4145" builtinId="9" hidden="1"/>
    <cellStyle name="Followed Hyperlink" xfId="4149" builtinId="9" hidden="1"/>
    <cellStyle name="Followed Hyperlink" xfId="4153" builtinId="9" hidden="1"/>
    <cellStyle name="Followed Hyperlink" xfId="4157" builtinId="9" hidden="1"/>
    <cellStyle name="Followed Hyperlink" xfId="4161" builtinId="9" hidden="1"/>
    <cellStyle name="Followed Hyperlink" xfId="4165" builtinId="9" hidden="1"/>
    <cellStyle name="Followed Hyperlink" xfId="4169" builtinId="9" hidden="1"/>
    <cellStyle name="Followed Hyperlink" xfId="4173" builtinId="9" hidden="1"/>
    <cellStyle name="Followed Hyperlink" xfId="4177" builtinId="9" hidden="1"/>
    <cellStyle name="Followed Hyperlink" xfId="4181" builtinId="9" hidden="1"/>
    <cellStyle name="Followed Hyperlink" xfId="4185" builtinId="9" hidden="1"/>
    <cellStyle name="Followed Hyperlink" xfId="4189" builtinId="9" hidden="1"/>
    <cellStyle name="Followed Hyperlink" xfId="4193" builtinId="9" hidden="1"/>
    <cellStyle name="Followed Hyperlink" xfId="4197" builtinId="9" hidden="1"/>
    <cellStyle name="Followed Hyperlink" xfId="4201" builtinId="9" hidden="1"/>
    <cellStyle name="Followed Hyperlink" xfId="4205" builtinId="9" hidden="1"/>
    <cellStyle name="Followed Hyperlink" xfId="4209" builtinId="9" hidden="1"/>
    <cellStyle name="Followed Hyperlink" xfId="4213" builtinId="9" hidden="1"/>
    <cellStyle name="Followed Hyperlink" xfId="4217" builtinId="9" hidden="1"/>
    <cellStyle name="Followed Hyperlink" xfId="4221" builtinId="9" hidden="1"/>
    <cellStyle name="Followed Hyperlink" xfId="4225" builtinId="9" hidden="1"/>
    <cellStyle name="Followed Hyperlink" xfId="4229" builtinId="9" hidden="1"/>
    <cellStyle name="Followed Hyperlink" xfId="4233" builtinId="9" hidden="1"/>
    <cellStyle name="Followed Hyperlink" xfId="4237" builtinId="9" hidden="1"/>
    <cellStyle name="Followed Hyperlink" xfId="4241" builtinId="9" hidden="1"/>
    <cellStyle name="Followed Hyperlink" xfId="4245" builtinId="9" hidden="1"/>
    <cellStyle name="Followed Hyperlink" xfId="4249" builtinId="9" hidden="1"/>
    <cellStyle name="Followed Hyperlink" xfId="4253" builtinId="9" hidden="1"/>
    <cellStyle name="Followed Hyperlink" xfId="4257" builtinId="9" hidden="1"/>
    <cellStyle name="Followed Hyperlink" xfId="4261" builtinId="9" hidden="1"/>
    <cellStyle name="Followed Hyperlink" xfId="4265" builtinId="9" hidden="1"/>
    <cellStyle name="Followed Hyperlink" xfId="4269" builtinId="9" hidden="1"/>
    <cellStyle name="Followed Hyperlink" xfId="4273" builtinId="9" hidden="1"/>
    <cellStyle name="Followed Hyperlink" xfId="4277" builtinId="9" hidden="1"/>
    <cellStyle name="Followed Hyperlink" xfId="4281" builtinId="9" hidden="1"/>
    <cellStyle name="Followed Hyperlink" xfId="4285" builtinId="9" hidden="1"/>
    <cellStyle name="Followed Hyperlink" xfId="4289" builtinId="9" hidden="1"/>
    <cellStyle name="Followed Hyperlink" xfId="4293" builtinId="9" hidden="1"/>
    <cellStyle name="Followed Hyperlink" xfId="4297" builtinId="9" hidden="1"/>
    <cellStyle name="Followed Hyperlink" xfId="4301" builtinId="9" hidden="1"/>
    <cellStyle name="Followed Hyperlink" xfId="4305" builtinId="9" hidden="1"/>
    <cellStyle name="Followed Hyperlink" xfId="4309" builtinId="9" hidden="1"/>
    <cellStyle name="Followed Hyperlink" xfId="4313" builtinId="9" hidden="1"/>
    <cellStyle name="Followed Hyperlink" xfId="4317" builtinId="9" hidden="1"/>
    <cellStyle name="Followed Hyperlink" xfId="4321" builtinId="9" hidden="1"/>
    <cellStyle name="Followed Hyperlink" xfId="4325" builtinId="9" hidden="1"/>
    <cellStyle name="Followed Hyperlink" xfId="4329" builtinId="9" hidden="1"/>
    <cellStyle name="Followed Hyperlink" xfId="4333" builtinId="9" hidden="1"/>
    <cellStyle name="Followed Hyperlink" xfId="4337" builtinId="9" hidden="1"/>
    <cellStyle name="Followed Hyperlink" xfId="4341" builtinId="9" hidden="1"/>
    <cellStyle name="Followed Hyperlink" xfId="4345" builtinId="9" hidden="1"/>
    <cellStyle name="Followed Hyperlink" xfId="4349" builtinId="9" hidden="1"/>
    <cellStyle name="Followed Hyperlink" xfId="4353" builtinId="9" hidden="1"/>
    <cellStyle name="Followed Hyperlink" xfId="4357" builtinId="9" hidden="1"/>
    <cellStyle name="Followed Hyperlink" xfId="4361" builtinId="9" hidden="1"/>
    <cellStyle name="Followed Hyperlink" xfId="4365" builtinId="9" hidden="1"/>
    <cellStyle name="Followed Hyperlink" xfId="4369" builtinId="9" hidden="1"/>
    <cellStyle name="Followed Hyperlink" xfId="4373" builtinId="9" hidden="1"/>
    <cellStyle name="Followed Hyperlink" xfId="4377" builtinId="9" hidden="1"/>
    <cellStyle name="Followed Hyperlink" xfId="4381" builtinId="9" hidden="1"/>
    <cellStyle name="Followed Hyperlink" xfId="4385" builtinId="9" hidden="1"/>
    <cellStyle name="Followed Hyperlink" xfId="4389" builtinId="9" hidden="1"/>
    <cellStyle name="Followed Hyperlink" xfId="4393" builtinId="9" hidden="1"/>
    <cellStyle name="Followed Hyperlink" xfId="4397" builtinId="9" hidden="1"/>
    <cellStyle name="Followed Hyperlink" xfId="4401" builtinId="9" hidden="1"/>
    <cellStyle name="Followed Hyperlink" xfId="4405" builtinId="9" hidden="1"/>
    <cellStyle name="Followed Hyperlink" xfId="4409" builtinId="9" hidden="1"/>
    <cellStyle name="Followed Hyperlink" xfId="4413" builtinId="9" hidden="1"/>
    <cellStyle name="Followed Hyperlink" xfId="4417" builtinId="9" hidden="1"/>
    <cellStyle name="Followed Hyperlink" xfId="4421" builtinId="9" hidden="1"/>
    <cellStyle name="Followed Hyperlink" xfId="4425" builtinId="9" hidden="1"/>
    <cellStyle name="Followed Hyperlink" xfId="4429" builtinId="9" hidden="1"/>
    <cellStyle name="Followed Hyperlink" xfId="4433" builtinId="9" hidden="1"/>
    <cellStyle name="Followed Hyperlink" xfId="4437" builtinId="9" hidden="1"/>
    <cellStyle name="Followed Hyperlink" xfId="4441" builtinId="9" hidden="1"/>
    <cellStyle name="Followed Hyperlink" xfId="4445" builtinId="9" hidden="1"/>
    <cellStyle name="Followed Hyperlink" xfId="4449" builtinId="9" hidden="1"/>
    <cellStyle name="Followed Hyperlink" xfId="4453" builtinId="9" hidden="1"/>
    <cellStyle name="Followed Hyperlink" xfId="4457" builtinId="9" hidden="1"/>
    <cellStyle name="Followed Hyperlink" xfId="4461" builtinId="9" hidden="1"/>
    <cellStyle name="Followed Hyperlink" xfId="4465" builtinId="9" hidden="1"/>
    <cellStyle name="Followed Hyperlink" xfId="4469" builtinId="9" hidden="1"/>
    <cellStyle name="Followed Hyperlink" xfId="4473" builtinId="9" hidden="1"/>
    <cellStyle name="Followed Hyperlink" xfId="4477" builtinId="9" hidden="1"/>
    <cellStyle name="Followed Hyperlink" xfId="4481" builtinId="9" hidden="1"/>
    <cellStyle name="Followed Hyperlink" xfId="4485" builtinId="9" hidden="1"/>
    <cellStyle name="Followed Hyperlink" xfId="4489" builtinId="9" hidden="1"/>
    <cellStyle name="Followed Hyperlink" xfId="4493" builtinId="9" hidden="1"/>
    <cellStyle name="Followed Hyperlink" xfId="4497" builtinId="9" hidden="1"/>
    <cellStyle name="Followed Hyperlink" xfId="4501" builtinId="9" hidden="1"/>
    <cellStyle name="Followed Hyperlink" xfId="4505" builtinId="9" hidden="1"/>
    <cellStyle name="Followed Hyperlink" xfId="4509" builtinId="9" hidden="1"/>
    <cellStyle name="Followed Hyperlink" xfId="4513" builtinId="9" hidden="1"/>
    <cellStyle name="Followed Hyperlink" xfId="4517" builtinId="9" hidden="1"/>
    <cellStyle name="Followed Hyperlink" xfId="4521" builtinId="9" hidden="1"/>
    <cellStyle name="Followed Hyperlink" xfId="4525" builtinId="9" hidden="1"/>
    <cellStyle name="Followed Hyperlink" xfId="4529" builtinId="9" hidden="1"/>
    <cellStyle name="Followed Hyperlink" xfId="4533" builtinId="9" hidden="1"/>
    <cellStyle name="Followed Hyperlink" xfId="4537" builtinId="9" hidden="1"/>
    <cellStyle name="Followed Hyperlink" xfId="4541" builtinId="9" hidden="1"/>
    <cellStyle name="Followed Hyperlink" xfId="4545" builtinId="9" hidden="1"/>
    <cellStyle name="Followed Hyperlink" xfId="4549" builtinId="9" hidden="1"/>
    <cellStyle name="Followed Hyperlink" xfId="4553" builtinId="9" hidden="1"/>
    <cellStyle name="Followed Hyperlink" xfId="4557" builtinId="9" hidden="1"/>
    <cellStyle name="Followed Hyperlink" xfId="4561" builtinId="9" hidden="1"/>
    <cellStyle name="Followed Hyperlink" xfId="4565" builtinId="9" hidden="1"/>
    <cellStyle name="Followed Hyperlink" xfId="4569" builtinId="9" hidden="1"/>
    <cellStyle name="Followed Hyperlink" xfId="4573" builtinId="9" hidden="1"/>
    <cellStyle name="Followed Hyperlink" xfId="4577" builtinId="9" hidden="1"/>
    <cellStyle name="Followed Hyperlink" xfId="4581" builtinId="9" hidden="1"/>
    <cellStyle name="Followed Hyperlink" xfId="4585" builtinId="9" hidden="1"/>
    <cellStyle name="Followed Hyperlink" xfId="4589" builtinId="9" hidden="1"/>
    <cellStyle name="Followed Hyperlink" xfId="4593" builtinId="9" hidden="1"/>
    <cellStyle name="Followed Hyperlink" xfId="4597" builtinId="9" hidden="1"/>
    <cellStyle name="Followed Hyperlink" xfId="4601" builtinId="9" hidden="1"/>
    <cellStyle name="Followed Hyperlink" xfId="4605" builtinId="9" hidden="1"/>
    <cellStyle name="Followed Hyperlink" xfId="4609" builtinId="9" hidden="1"/>
    <cellStyle name="Followed Hyperlink" xfId="4613" builtinId="9" hidden="1"/>
    <cellStyle name="Followed Hyperlink" xfId="4617" builtinId="9" hidden="1"/>
    <cellStyle name="Followed Hyperlink" xfId="4621" builtinId="9" hidden="1"/>
    <cellStyle name="Followed Hyperlink" xfId="4625" builtinId="9" hidden="1"/>
    <cellStyle name="Followed Hyperlink" xfId="4629" builtinId="9" hidden="1"/>
    <cellStyle name="Followed Hyperlink" xfId="4633" builtinId="9" hidden="1"/>
    <cellStyle name="Followed Hyperlink" xfId="4637" builtinId="9" hidden="1"/>
    <cellStyle name="Followed Hyperlink" xfId="4641" builtinId="9" hidden="1"/>
    <cellStyle name="Followed Hyperlink" xfId="4645" builtinId="9" hidden="1"/>
    <cellStyle name="Followed Hyperlink" xfId="4649" builtinId="9" hidden="1"/>
    <cellStyle name="Followed Hyperlink" xfId="4653" builtinId="9" hidden="1"/>
    <cellStyle name="Followed Hyperlink" xfId="4657" builtinId="9" hidden="1"/>
    <cellStyle name="Followed Hyperlink" xfId="4661" builtinId="9" hidden="1"/>
    <cellStyle name="Followed Hyperlink" xfId="4665" builtinId="9" hidden="1"/>
    <cellStyle name="Followed Hyperlink" xfId="4669" builtinId="9" hidden="1"/>
    <cellStyle name="Followed Hyperlink" xfId="4673" builtinId="9" hidden="1"/>
    <cellStyle name="Followed Hyperlink" xfId="4677" builtinId="9" hidden="1"/>
    <cellStyle name="Followed Hyperlink" xfId="4681" builtinId="9" hidden="1"/>
    <cellStyle name="Followed Hyperlink" xfId="4685" builtinId="9" hidden="1"/>
    <cellStyle name="Followed Hyperlink" xfId="4689" builtinId="9" hidden="1"/>
    <cellStyle name="Followed Hyperlink" xfId="4693" builtinId="9" hidden="1"/>
    <cellStyle name="Followed Hyperlink" xfId="4697" builtinId="9" hidden="1"/>
    <cellStyle name="Followed Hyperlink" xfId="4701" builtinId="9" hidden="1"/>
    <cellStyle name="Followed Hyperlink" xfId="4705" builtinId="9" hidden="1"/>
    <cellStyle name="Followed Hyperlink" xfId="4709" builtinId="9" hidden="1"/>
    <cellStyle name="Followed Hyperlink" xfId="4713" builtinId="9" hidden="1"/>
    <cellStyle name="Followed Hyperlink" xfId="4717" builtinId="9" hidden="1"/>
    <cellStyle name="Followed Hyperlink" xfId="4721" builtinId="9" hidden="1"/>
    <cellStyle name="Followed Hyperlink" xfId="4725" builtinId="9" hidden="1"/>
    <cellStyle name="Followed Hyperlink" xfId="4729" builtinId="9" hidden="1"/>
    <cellStyle name="Followed Hyperlink" xfId="4733" builtinId="9" hidden="1"/>
    <cellStyle name="Followed Hyperlink" xfId="4737" builtinId="9" hidden="1"/>
    <cellStyle name="Followed Hyperlink" xfId="4741" builtinId="9" hidden="1"/>
    <cellStyle name="Followed Hyperlink" xfId="4745" builtinId="9" hidden="1"/>
    <cellStyle name="Followed Hyperlink" xfId="4749" builtinId="9" hidden="1"/>
    <cellStyle name="Followed Hyperlink" xfId="4753" builtinId="9" hidden="1"/>
    <cellStyle name="Followed Hyperlink" xfId="4757" builtinId="9" hidden="1"/>
    <cellStyle name="Followed Hyperlink" xfId="4761" builtinId="9" hidden="1"/>
    <cellStyle name="Followed Hyperlink" xfId="4765" builtinId="9" hidden="1"/>
    <cellStyle name="Followed Hyperlink" xfId="4769" builtinId="9" hidden="1"/>
    <cellStyle name="Followed Hyperlink" xfId="4773" builtinId="9" hidden="1"/>
    <cellStyle name="Followed Hyperlink" xfId="4777" builtinId="9" hidden="1"/>
    <cellStyle name="Followed Hyperlink" xfId="4781" builtinId="9" hidden="1"/>
    <cellStyle name="Followed Hyperlink" xfId="4785" builtinId="9" hidden="1"/>
    <cellStyle name="Followed Hyperlink" xfId="4789" builtinId="9" hidden="1"/>
    <cellStyle name="Followed Hyperlink" xfId="4793" builtinId="9" hidden="1"/>
    <cellStyle name="Followed Hyperlink" xfId="4797" builtinId="9" hidden="1"/>
    <cellStyle name="Followed Hyperlink" xfId="4801" builtinId="9" hidden="1"/>
    <cellStyle name="Followed Hyperlink" xfId="4805" builtinId="9" hidden="1"/>
    <cellStyle name="Followed Hyperlink" xfId="4809" builtinId="9" hidden="1"/>
    <cellStyle name="Followed Hyperlink" xfId="4813" builtinId="9" hidden="1"/>
    <cellStyle name="Followed Hyperlink" xfId="4817" builtinId="9" hidden="1"/>
    <cellStyle name="Followed Hyperlink" xfId="4821" builtinId="9" hidden="1"/>
    <cellStyle name="Followed Hyperlink" xfId="4825" builtinId="9" hidden="1"/>
    <cellStyle name="Followed Hyperlink" xfId="4829" builtinId="9" hidden="1"/>
    <cellStyle name="Followed Hyperlink" xfId="4833" builtinId="9" hidden="1"/>
    <cellStyle name="Followed Hyperlink" xfId="4837" builtinId="9" hidden="1"/>
    <cellStyle name="Followed Hyperlink" xfId="4841" builtinId="9" hidden="1"/>
    <cellStyle name="Followed Hyperlink" xfId="4845" builtinId="9" hidden="1"/>
    <cellStyle name="Followed Hyperlink" xfId="4849" builtinId="9" hidden="1"/>
    <cellStyle name="Followed Hyperlink" xfId="4853" builtinId="9" hidden="1"/>
    <cellStyle name="Followed Hyperlink" xfId="4857" builtinId="9" hidden="1"/>
    <cellStyle name="Followed Hyperlink" xfId="4861" builtinId="9" hidden="1"/>
    <cellStyle name="Followed Hyperlink" xfId="4865" builtinId="9" hidden="1"/>
    <cellStyle name="Followed Hyperlink" xfId="4869" builtinId="9" hidden="1"/>
    <cellStyle name="Followed Hyperlink" xfId="4873" builtinId="9" hidden="1"/>
    <cellStyle name="Followed Hyperlink" xfId="4877" builtinId="9" hidden="1"/>
    <cellStyle name="Followed Hyperlink" xfId="4881" builtinId="9" hidden="1"/>
    <cellStyle name="Followed Hyperlink" xfId="4885" builtinId="9" hidden="1"/>
    <cellStyle name="Followed Hyperlink" xfId="4889" builtinId="9" hidden="1"/>
    <cellStyle name="Followed Hyperlink" xfId="4893" builtinId="9" hidden="1"/>
    <cellStyle name="Followed Hyperlink" xfId="4897" builtinId="9" hidden="1"/>
    <cellStyle name="Followed Hyperlink" xfId="4901" builtinId="9" hidden="1"/>
    <cellStyle name="Followed Hyperlink" xfId="4905" builtinId="9" hidden="1"/>
    <cellStyle name="Followed Hyperlink" xfId="4909" builtinId="9" hidden="1"/>
    <cellStyle name="Followed Hyperlink" xfId="4913" builtinId="9" hidden="1"/>
    <cellStyle name="Followed Hyperlink" xfId="4917" builtinId="9" hidden="1"/>
    <cellStyle name="Followed Hyperlink" xfId="4921" builtinId="9" hidden="1"/>
    <cellStyle name="Followed Hyperlink" xfId="4925" builtinId="9" hidden="1"/>
    <cellStyle name="Followed Hyperlink" xfId="4929" builtinId="9" hidden="1"/>
    <cellStyle name="Followed Hyperlink" xfId="4933" builtinId="9" hidden="1"/>
    <cellStyle name="Followed Hyperlink" xfId="4937" builtinId="9" hidden="1"/>
    <cellStyle name="Followed Hyperlink" xfId="4941" builtinId="9" hidden="1"/>
    <cellStyle name="Followed Hyperlink" xfId="4945" builtinId="9" hidden="1"/>
    <cellStyle name="Followed Hyperlink" xfId="4949" builtinId="9" hidden="1"/>
    <cellStyle name="Followed Hyperlink" xfId="4953" builtinId="9" hidden="1"/>
    <cellStyle name="Followed Hyperlink" xfId="4957" builtinId="9" hidden="1"/>
    <cellStyle name="Followed Hyperlink" xfId="4961" builtinId="9" hidden="1"/>
    <cellStyle name="Followed Hyperlink" xfId="4965" builtinId="9" hidden="1"/>
    <cellStyle name="Followed Hyperlink" xfId="4969" builtinId="9" hidden="1"/>
    <cellStyle name="Followed Hyperlink" xfId="4973" builtinId="9" hidden="1"/>
    <cellStyle name="Followed Hyperlink" xfId="4977" builtinId="9" hidden="1"/>
    <cellStyle name="Followed Hyperlink" xfId="4981" builtinId="9" hidden="1"/>
    <cellStyle name="Followed Hyperlink" xfId="4985" builtinId="9" hidden="1"/>
    <cellStyle name="Followed Hyperlink" xfId="4989" builtinId="9" hidden="1"/>
    <cellStyle name="Followed Hyperlink" xfId="4993" builtinId="9" hidden="1"/>
    <cellStyle name="Followed Hyperlink" xfId="4997" builtinId="9" hidden="1"/>
    <cellStyle name="Followed Hyperlink" xfId="5001" builtinId="9" hidden="1"/>
    <cellStyle name="Followed Hyperlink" xfId="5005" builtinId="9" hidden="1"/>
    <cellStyle name="Followed Hyperlink" xfId="5009" builtinId="9" hidden="1"/>
    <cellStyle name="Followed Hyperlink" xfId="5013" builtinId="9" hidden="1"/>
    <cellStyle name="Followed Hyperlink" xfId="5017" builtinId="9" hidden="1"/>
    <cellStyle name="Followed Hyperlink" xfId="5021" builtinId="9" hidden="1"/>
    <cellStyle name="Followed Hyperlink" xfId="5025" builtinId="9" hidden="1"/>
    <cellStyle name="Followed Hyperlink" xfId="5029" builtinId="9" hidden="1"/>
    <cellStyle name="Followed Hyperlink" xfId="5033" builtinId="9" hidden="1"/>
    <cellStyle name="Followed Hyperlink" xfId="5037" builtinId="9" hidden="1"/>
    <cellStyle name="Followed Hyperlink" xfId="5041" builtinId="9" hidden="1"/>
    <cellStyle name="Followed Hyperlink" xfId="5045" builtinId="9" hidden="1"/>
    <cellStyle name="Followed Hyperlink" xfId="5049" builtinId="9" hidden="1"/>
    <cellStyle name="Followed Hyperlink" xfId="5053" builtinId="9" hidden="1"/>
    <cellStyle name="Followed Hyperlink" xfId="5057" builtinId="9" hidden="1"/>
    <cellStyle name="Followed Hyperlink" xfId="5061" builtinId="9" hidden="1"/>
    <cellStyle name="Followed Hyperlink" xfId="5065" builtinId="9" hidden="1"/>
    <cellStyle name="Followed Hyperlink" xfId="5069" builtinId="9" hidden="1"/>
    <cellStyle name="Followed Hyperlink" xfId="5073" builtinId="9" hidden="1"/>
    <cellStyle name="Followed Hyperlink" xfId="5077" builtinId="9" hidden="1"/>
    <cellStyle name="Followed Hyperlink" xfId="5081" builtinId="9" hidden="1"/>
    <cellStyle name="Followed Hyperlink" xfId="5085" builtinId="9" hidden="1"/>
    <cellStyle name="Followed Hyperlink" xfId="5089" builtinId="9" hidden="1"/>
    <cellStyle name="Followed Hyperlink" xfId="5093" builtinId="9" hidden="1"/>
    <cellStyle name="Followed Hyperlink" xfId="5097" builtinId="9" hidden="1"/>
    <cellStyle name="Followed Hyperlink" xfId="5101" builtinId="9" hidden="1"/>
    <cellStyle name="Followed Hyperlink" xfId="5105" builtinId="9" hidden="1"/>
    <cellStyle name="Followed Hyperlink" xfId="5109" builtinId="9" hidden="1"/>
    <cellStyle name="Followed Hyperlink" xfId="5113" builtinId="9" hidden="1"/>
    <cellStyle name="Followed Hyperlink" xfId="5117" builtinId="9" hidden="1"/>
    <cellStyle name="Followed Hyperlink" xfId="5121" builtinId="9" hidden="1"/>
    <cellStyle name="Followed Hyperlink" xfId="5125" builtinId="9" hidden="1"/>
    <cellStyle name="Followed Hyperlink" xfId="5129" builtinId="9" hidden="1"/>
    <cellStyle name="Followed Hyperlink" xfId="5133" builtinId="9" hidden="1"/>
    <cellStyle name="Followed Hyperlink" xfId="5137" builtinId="9" hidden="1"/>
    <cellStyle name="Followed Hyperlink" xfId="5141" builtinId="9" hidden="1"/>
    <cellStyle name="Followed Hyperlink" xfId="5145" builtinId="9" hidden="1"/>
    <cellStyle name="Followed Hyperlink" xfId="5149" builtinId="9" hidden="1"/>
    <cellStyle name="Followed Hyperlink" xfId="5153" builtinId="9" hidden="1"/>
    <cellStyle name="Followed Hyperlink" xfId="5157" builtinId="9" hidden="1"/>
    <cellStyle name="Followed Hyperlink" xfId="5161" builtinId="9" hidden="1"/>
    <cellStyle name="Followed Hyperlink" xfId="5165" builtinId="9" hidden="1"/>
    <cellStyle name="Followed Hyperlink" xfId="5169" builtinId="9" hidden="1"/>
    <cellStyle name="Followed Hyperlink" xfId="5173" builtinId="9" hidden="1"/>
    <cellStyle name="Followed Hyperlink" xfId="5177" builtinId="9" hidden="1"/>
    <cellStyle name="Followed Hyperlink" xfId="5181" builtinId="9" hidden="1"/>
    <cellStyle name="Followed Hyperlink" xfId="5185" builtinId="9" hidden="1"/>
    <cellStyle name="Followed Hyperlink" xfId="5189" builtinId="9" hidden="1"/>
    <cellStyle name="Followed Hyperlink" xfId="5193" builtinId="9" hidden="1"/>
    <cellStyle name="Followed Hyperlink" xfId="5197" builtinId="9" hidden="1"/>
    <cellStyle name="Followed Hyperlink" xfId="5201" builtinId="9" hidden="1"/>
    <cellStyle name="Followed Hyperlink" xfId="5205" builtinId="9" hidden="1"/>
    <cellStyle name="Followed Hyperlink" xfId="5209" builtinId="9" hidden="1"/>
    <cellStyle name="Followed Hyperlink" xfId="5213" builtinId="9" hidden="1"/>
    <cellStyle name="Followed Hyperlink" xfId="5217" builtinId="9" hidden="1"/>
    <cellStyle name="Followed Hyperlink" xfId="5221" builtinId="9" hidden="1"/>
    <cellStyle name="Followed Hyperlink" xfId="5225" builtinId="9" hidden="1"/>
    <cellStyle name="Followed Hyperlink" xfId="5229" builtinId="9" hidden="1"/>
    <cellStyle name="Followed Hyperlink" xfId="5233" builtinId="9" hidden="1"/>
    <cellStyle name="Followed Hyperlink" xfId="5237" builtinId="9" hidden="1"/>
    <cellStyle name="Followed Hyperlink" xfId="5241" builtinId="9" hidden="1"/>
    <cellStyle name="Followed Hyperlink" xfId="5245" builtinId="9" hidden="1"/>
    <cellStyle name="Followed Hyperlink" xfId="5249" builtinId="9" hidden="1"/>
    <cellStyle name="Followed Hyperlink" xfId="5253" builtinId="9" hidden="1"/>
    <cellStyle name="Followed Hyperlink" xfId="5257" builtinId="9" hidden="1"/>
    <cellStyle name="Followed Hyperlink" xfId="5261" builtinId="9" hidden="1"/>
    <cellStyle name="Followed Hyperlink" xfId="5265" builtinId="9" hidden="1"/>
    <cellStyle name="Followed Hyperlink" xfId="5269" builtinId="9" hidden="1"/>
    <cellStyle name="Followed Hyperlink" xfId="5273" builtinId="9" hidden="1"/>
    <cellStyle name="Followed Hyperlink" xfId="5277" builtinId="9" hidden="1"/>
    <cellStyle name="Followed Hyperlink" xfId="5281" builtinId="9" hidden="1"/>
    <cellStyle name="Followed Hyperlink" xfId="5285" builtinId="9" hidden="1"/>
    <cellStyle name="Followed Hyperlink" xfId="5289" builtinId="9" hidden="1"/>
    <cellStyle name="Followed Hyperlink" xfId="5293" builtinId="9" hidden="1"/>
    <cellStyle name="Followed Hyperlink" xfId="5297" builtinId="9" hidden="1"/>
    <cellStyle name="Followed Hyperlink" xfId="5301" builtinId="9" hidden="1"/>
    <cellStyle name="Followed Hyperlink" xfId="5305" builtinId="9" hidden="1"/>
    <cellStyle name="Followed Hyperlink" xfId="5309" builtinId="9" hidden="1"/>
    <cellStyle name="Followed Hyperlink" xfId="5313" builtinId="9" hidden="1"/>
    <cellStyle name="Followed Hyperlink" xfId="5317" builtinId="9" hidden="1"/>
    <cellStyle name="Followed Hyperlink" xfId="5321" builtinId="9" hidden="1"/>
    <cellStyle name="Followed Hyperlink" xfId="5325" builtinId="9" hidden="1"/>
    <cellStyle name="Followed Hyperlink" xfId="5329" builtinId="9" hidden="1"/>
    <cellStyle name="Followed Hyperlink" xfId="5333" builtinId="9" hidden="1"/>
    <cellStyle name="Followed Hyperlink" xfId="5337" builtinId="9" hidden="1"/>
    <cellStyle name="Followed Hyperlink" xfId="5341" builtinId="9" hidden="1"/>
    <cellStyle name="Followed Hyperlink" xfId="5345" builtinId="9" hidden="1"/>
    <cellStyle name="Followed Hyperlink" xfId="5349" builtinId="9" hidden="1"/>
    <cellStyle name="Followed Hyperlink" xfId="5353" builtinId="9" hidden="1"/>
    <cellStyle name="Followed Hyperlink" xfId="5357" builtinId="9" hidden="1"/>
    <cellStyle name="Followed Hyperlink" xfId="5361" builtinId="9" hidden="1"/>
    <cellStyle name="Followed Hyperlink" xfId="5365" builtinId="9" hidden="1"/>
    <cellStyle name="Followed Hyperlink" xfId="5369" builtinId="9" hidden="1"/>
    <cellStyle name="Followed Hyperlink" xfId="5373" builtinId="9" hidden="1"/>
    <cellStyle name="Followed Hyperlink" xfId="5377" builtinId="9" hidden="1"/>
    <cellStyle name="Followed Hyperlink" xfId="5381" builtinId="9" hidden="1"/>
    <cellStyle name="Followed Hyperlink" xfId="5385" builtinId="9" hidden="1"/>
    <cellStyle name="Followed Hyperlink" xfId="5389" builtinId="9" hidden="1"/>
    <cellStyle name="Followed Hyperlink" xfId="5393" builtinId="9" hidden="1"/>
    <cellStyle name="Followed Hyperlink" xfId="5397" builtinId="9" hidden="1"/>
    <cellStyle name="Followed Hyperlink" xfId="5401" builtinId="9" hidden="1"/>
    <cellStyle name="Followed Hyperlink" xfId="5405" builtinId="9" hidden="1"/>
    <cellStyle name="Followed Hyperlink" xfId="5409" builtinId="9" hidden="1"/>
    <cellStyle name="Followed Hyperlink" xfId="5413" builtinId="9" hidden="1"/>
    <cellStyle name="Followed Hyperlink" xfId="5417" builtinId="9" hidden="1"/>
    <cellStyle name="Followed Hyperlink" xfId="5421" builtinId="9" hidden="1"/>
    <cellStyle name="Followed Hyperlink" xfId="5425" builtinId="9" hidden="1"/>
    <cellStyle name="Followed Hyperlink" xfId="5429" builtinId="9" hidden="1"/>
    <cellStyle name="Followed Hyperlink" xfId="5433" builtinId="9" hidden="1"/>
    <cellStyle name="Followed Hyperlink" xfId="5437" builtinId="9" hidden="1"/>
    <cellStyle name="Followed Hyperlink" xfId="5441" builtinId="9" hidden="1"/>
    <cellStyle name="Followed Hyperlink" xfId="5445" builtinId="9" hidden="1"/>
    <cellStyle name="Followed Hyperlink" xfId="5449" builtinId="9" hidden="1"/>
    <cellStyle name="Followed Hyperlink" xfId="5453" builtinId="9" hidden="1"/>
    <cellStyle name="Followed Hyperlink" xfId="5457" builtinId="9" hidden="1"/>
    <cellStyle name="Followed Hyperlink" xfId="5461" builtinId="9" hidden="1"/>
    <cellStyle name="Followed Hyperlink" xfId="5465" builtinId="9" hidden="1"/>
    <cellStyle name="Followed Hyperlink" xfId="5469" builtinId="9" hidden="1"/>
    <cellStyle name="Followed Hyperlink" xfId="5473" builtinId="9" hidden="1"/>
    <cellStyle name="Followed Hyperlink" xfId="5477" builtinId="9" hidden="1"/>
    <cellStyle name="Followed Hyperlink" xfId="5481" builtinId="9" hidden="1"/>
    <cellStyle name="Followed Hyperlink" xfId="5485" builtinId="9" hidden="1"/>
    <cellStyle name="Followed Hyperlink" xfId="5489" builtinId="9" hidden="1"/>
    <cellStyle name="Followed Hyperlink" xfId="5493" builtinId="9" hidden="1"/>
    <cellStyle name="Followed Hyperlink" xfId="5497" builtinId="9" hidden="1"/>
    <cellStyle name="Followed Hyperlink" xfId="5501" builtinId="9" hidden="1"/>
    <cellStyle name="Followed Hyperlink" xfId="5505" builtinId="9" hidden="1"/>
    <cellStyle name="Followed Hyperlink" xfId="5509" builtinId="9" hidden="1"/>
    <cellStyle name="Followed Hyperlink" xfId="5513" builtinId="9" hidden="1"/>
    <cellStyle name="Followed Hyperlink" xfId="5517" builtinId="9" hidden="1"/>
    <cellStyle name="Followed Hyperlink" xfId="5521" builtinId="9" hidden="1"/>
    <cellStyle name="Followed Hyperlink" xfId="5525" builtinId="9" hidden="1"/>
    <cellStyle name="Followed Hyperlink" xfId="5529" builtinId="9" hidden="1"/>
    <cellStyle name="Followed Hyperlink" xfId="5533" builtinId="9" hidden="1"/>
    <cellStyle name="Followed Hyperlink" xfId="5537" builtinId="9" hidden="1"/>
    <cellStyle name="Followed Hyperlink" xfId="5541" builtinId="9" hidden="1"/>
    <cellStyle name="Followed Hyperlink" xfId="5545" builtinId="9" hidden="1"/>
    <cellStyle name="Followed Hyperlink" xfId="5549" builtinId="9" hidden="1"/>
    <cellStyle name="Followed Hyperlink" xfId="5553" builtinId="9" hidden="1"/>
    <cellStyle name="Followed Hyperlink" xfId="5557" builtinId="9" hidden="1"/>
    <cellStyle name="Followed Hyperlink" xfId="5561" builtinId="9" hidden="1"/>
    <cellStyle name="Followed Hyperlink" xfId="5565" builtinId="9" hidden="1"/>
    <cellStyle name="Followed Hyperlink" xfId="5569" builtinId="9" hidden="1"/>
    <cellStyle name="Followed Hyperlink" xfId="5573" builtinId="9" hidden="1"/>
    <cellStyle name="Followed Hyperlink" xfId="5577" builtinId="9" hidden="1"/>
    <cellStyle name="Followed Hyperlink" xfId="5581" builtinId="9" hidden="1"/>
    <cellStyle name="Followed Hyperlink" xfId="5585" builtinId="9" hidden="1"/>
    <cellStyle name="Followed Hyperlink" xfId="5589" builtinId="9" hidden="1"/>
    <cellStyle name="Followed Hyperlink" xfId="5593" builtinId="9" hidden="1"/>
    <cellStyle name="Followed Hyperlink" xfId="5597" builtinId="9" hidden="1"/>
    <cellStyle name="Followed Hyperlink" xfId="5601" builtinId="9" hidden="1"/>
    <cellStyle name="Followed Hyperlink" xfId="5605" builtinId="9" hidden="1"/>
    <cellStyle name="Followed Hyperlink" xfId="5609" builtinId="9" hidden="1"/>
    <cellStyle name="Followed Hyperlink" xfId="5613" builtinId="9" hidden="1"/>
    <cellStyle name="Followed Hyperlink" xfId="5617" builtinId="9" hidden="1"/>
    <cellStyle name="Followed Hyperlink" xfId="5621" builtinId="9" hidden="1"/>
    <cellStyle name="Followed Hyperlink" xfId="5625" builtinId="9" hidden="1"/>
    <cellStyle name="Followed Hyperlink" xfId="5629" builtinId="9" hidden="1"/>
    <cellStyle name="Followed Hyperlink" xfId="5633" builtinId="9" hidden="1"/>
    <cellStyle name="Followed Hyperlink" xfId="5637" builtinId="9" hidden="1"/>
    <cellStyle name="Followed Hyperlink" xfId="5641" builtinId="9" hidden="1"/>
    <cellStyle name="Followed Hyperlink" xfId="5645" builtinId="9" hidden="1"/>
    <cellStyle name="Followed Hyperlink" xfId="5649" builtinId="9" hidden="1"/>
    <cellStyle name="Followed Hyperlink" xfId="5653" builtinId="9" hidden="1"/>
    <cellStyle name="Followed Hyperlink" xfId="5657" builtinId="9" hidden="1"/>
    <cellStyle name="Followed Hyperlink" xfId="5661" builtinId="9" hidden="1"/>
    <cellStyle name="Followed Hyperlink" xfId="5665" builtinId="9" hidden="1"/>
    <cellStyle name="Followed Hyperlink" xfId="5669" builtinId="9" hidden="1"/>
    <cellStyle name="Followed Hyperlink" xfId="5673" builtinId="9" hidden="1"/>
    <cellStyle name="Followed Hyperlink" xfId="5677" builtinId="9" hidden="1"/>
    <cellStyle name="Followed Hyperlink" xfId="5681" builtinId="9" hidden="1"/>
    <cellStyle name="Followed Hyperlink" xfId="5685" builtinId="9" hidden="1"/>
    <cellStyle name="Followed Hyperlink" xfId="5689" builtinId="9" hidden="1"/>
    <cellStyle name="Followed Hyperlink" xfId="5693" builtinId="9" hidden="1"/>
    <cellStyle name="Followed Hyperlink" xfId="5697" builtinId="9" hidden="1"/>
    <cellStyle name="Followed Hyperlink" xfId="5701" builtinId="9" hidden="1"/>
    <cellStyle name="Followed Hyperlink" xfId="5705" builtinId="9" hidden="1"/>
    <cellStyle name="Followed Hyperlink" xfId="5709" builtinId="9" hidden="1"/>
    <cellStyle name="Followed Hyperlink" xfId="5713" builtinId="9" hidden="1"/>
    <cellStyle name="Followed Hyperlink" xfId="5717" builtinId="9" hidden="1"/>
    <cellStyle name="Followed Hyperlink" xfId="5721" builtinId="9" hidden="1"/>
    <cellStyle name="Followed Hyperlink" xfId="5725" builtinId="9" hidden="1"/>
    <cellStyle name="Followed Hyperlink" xfId="5729" builtinId="9" hidden="1"/>
    <cellStyle name="Followed Hyperlink" xfId="5733" builtinId="9" hidden="1"/>
    <cellStyle name="Followed Hyperlink" xfId="5737" builtinId="9" hidden="1"/>
    <cellStyle name="Followed Hyperlink" xfId="5741" builtinId="9" hidden="1"/>
    <cellStyle name="Followed Hyperlink" xfId="5745" builtinId="9" hidden="1"/>
    <cellStyle name="Followed Hyperlink" xfId="5749" builtinId="9" hidden="1"/>
    <cellStyle name="Followed Hyperlink" xfId="5753" builtinId="9" hidden="1"/>
    <cellStyle name="Followed Hyperlink" xfId="5757" builtinId="9" hidden="1"/>
    <cellStyle name="Followed Hyperlink" xfId="5761" builtinId="9" hidden="1"/>
    <cellStyle name="Followed Hyperlink" xfId="5765" builtinId="9" hidden="1"/>
    <cellStyle name="Followed Hyperlink" xfId="5769" builtinId="9" hidden="1"/>
    <cellStyle name="Followed Hyperlink" xfId="5773" builtinId="9" hidden="1"/>
    <cellStyle name="Followed Hyperlink" xfId="5777" builtinId="9" hidden="1"/>
    <cellStyle name="Followed Hyperlink" xfId="5775" builtinId="9" hidden="1"/>
    <cellStyle name="Followed Hyperlink" xfId="5771" builtinId="9" hidden="1"/>
    <cellStyle name="Followed Hyperlink" xfId="5767" builtinId="9" hidden="1"/>
    <cellStyle name="Followed Hyperlink" xfId="5763" builtinId="9" hidden="1"/>
    <cellStyle name="Followed Hyperlink" xfId="5759" builtinId="9" hidden="1"/>
    <cellStyle name="Followed Hyperlink" xfId="5755" builtinId="9" hidden="1"/>
    <cellStyle name="Followed Hyperlink" xfId="5751" builtinId="9" hidden="1"/>
    <cellStyle name="Followed Hyperlink" xfId="5747" builtinId="9" hidden="1"/>
    <cellStyle name="Followed Hyperlink" xfId="5743" builtinId="9" hidden="1"/>
    <cellStyle name="Followed Hyperlink" xfId="5739" builtinId="9" hidden="1"/>
    <cellStyle name="Followed Hyperlink" xfId="5735" builtinId="9" hidden="1"/>
    <cellStyle name="Followed Hyperlink" xfId="5731" builtinId="9" hidden="1"/>
    <cellStyle name="Followed Hyperlink" xfId="5727" builtinId="9" hidden="1"/>
    <cellStyle name="Followed Hyperlink" xfId="5723" builtinId="9" hidden="1"/>
    <cellStyle name="Followed Hyperlink" xfId="5719" builtinId="9" hidden="1"/>
    <cellStyle name="Followed Hyperlink" xfId="5715" builtinId="9" hidden="1"/>
    <cellStyle name="Followed Hyperlink" xfId="5711" builtinId="9" hidden="1"/>
    <cellStyle name="Followed Hyperlink" xfId="5707" builtinId="9" hidden="1"/>
    <cellStyle name="Followed Hyperlink" xfId="5703" builtinId="9" hidden="1"/>
    <cellStyle name="Followed Hyperlink" xfId="5699" builtinId="9" hidden="1"/>
    <cellStyle name="Followed Hyperlink" xfId="5695" builtinId="9" hidden="1"/>
    <cellStyle name="Followed Hyperlink" xfId="5691" builtinId="9" hidden="1"/>
    <cellStyle name="Followed Hyperlink" xfId="5687" builtinId="9" hidden="1"/>
    <cellStyle name="Followed Hyperlink" xfId="5683" builtinId="9" hidden="1"/>
    <cellStyle name="Followed Hyperlink" xfId="5679" builtinId="9" hidden="1"/>
    <cellStyle name="Followed Hyperlink" xfId="5675" builtinId="9" hidden="1"/>
    <cellStyle name="Followed Hyperlink" xfId="5671" builtinId="9" hidden="1"/>
    <cellStyle name="Followed Hyperlink" xfId="5667" builtinId="9" hidden="1"/>
    <cellStyle name="Followed Hyperlink" xfId="5663" builtinId="9" hidden="1"/>
    <cellStyle name="Followed Hyperlink" xfId="5659" builtinId="9" hidden="1"/>
    <cellStyle name="Followed Hyperlink" xfId="5655" builtinId="9" hidden="1"/>
    <cellStyle name="Followed Hyperlink" xfId="5651" builtinId="9" hidden="1"/>
    <cellStyle name="Followed Hyperlink" xfId="5647" builtinId="9" hidden="1"/>
    <cellStyle name="Followed Hyperlink" xfId="5643" builtinId="9" hidden="1"/>
    <cellStyle name="Followed Hyperlink" xfId="5639" builtinId="9" hidden="1"/>
    <cellStyle name="Followed Hyperlink" xfId="5635" builtinId="9" hidden="1"/>
    <cellStyle name="Followed Hyperlink" xfId="5631" builtinId="9" hidden="1"/>
    <cellStyle name="Followed Hyperlink" xfId="5627" builtinId="9" hidden="1"/>
    <cellStyle name="Followed Hyperlink" xfId="5623" builtinId="9" hidden="1"/>
    <cellStyle name="Followed Hyperlink" xfId="5619" builtinId="9" hidden="1"/>
    <cellStyle name="Followed Hyperlink" xfId="5615" builtinId="9" hidden="1"/>
    <cellStyle name="Followed Hyperlink" xfId="5611" builtinId="9" hidden="1"/>
    <cellStyle name="Followed Hyperlink" xfId="5607" builtinId="9" hidden="1"/>
    <cellStyle name="Followed Hyperlink" xfId="5603" builtinId="9" hidden="1"/>
    <cellStyle name="Followed Hyperlink" xfId="5599" builtinId="9" hidden="1"/>
    <cellStyle name="Followed Hyperlink" xfId="5595" builtinId="9" hidden="1"/>
    <cellStyle name="Followed Hyperlink" xfId="5591" builtinId="9" hidden="1"/>
    <cellStyle name="Followed Hyperlink" xfId="5587" builtinId="9" hidden="1"/>
    <cellStyle name="Followed Hyperlink" xfId="5583" builtinId="9" hidden="1"/>
    <cellStyle name="Followed Hyperlink" xfId="5579" builtinId="9" hidden="1"/>
    <cellStyle name="Followed Hyperlink" xfId="5575" builtinId="9" hidden="1"/>
    <cellStyle name="Followed Hyperlink" xfId="5571" builtinId="9" hidden="1"/>
    <cellStyle name="Followed Hyperlink" xfId="5567" builtinId="9" hidden="1"/>
    <cellStyle name="Followed Hyperlink" xfId="5563" builtinId="9" hidden="1"/>
    <cellStyle name="Followed Hyperlink" xfId="5559" builtinId="9" hidden="1"/>
    <cellStyle name="Followed Hyperlink" xfId="5555" builtinId="9" hidden="1"/>
    <cellStyle name="Followed Hyperlink" xfId="5551" builtinId="9" hidden="1"/>
    <cellStyle name="Followed Hyperlink" xfId="5547" builtinId="9" hidden="1"/>
    <cellStyle name="Followed Hyperlink" xfId="5543" builtinId="9" hidden="1"/>
    <cellStyle name="Followed Hyperlink" xfId="5539" builtinId="9" hidden="1"/>
    <cellStyle name="Followed Hyperlink" xfId="5535" builtinId="9" hidden="1"/>
    <cellStyle name="Followed Hyperlink" xfId="5531" builtinId="9" hidden="1"/>
    <cellStyle name="Followed Hyperlink" xfId="5527" builtinId="9" hidden="1"/>
    <cellStyle name="Followed Hyperlink" xfId="5523" builtinId="9" hidden="1"/>
    <cellStyle name="Followed Hyperlink" xfId="5519" builtinId="9" hidden="1"/>
    <cellStyle name="Followed Hyperlink" xfId="5515" builtinId="9" hidden="1"/>
    <cellStyle name="Followed Hyperlink" xfId="5511" builtinId="9" hidden="1"/>
    <cellStyle name="Followed Hyperlink" xfId="5507" builtinId="9" hidden="1"/>
    <cellStyle name="Followed Hyperlink" xfId="5503" builtinId="9" hidden="1"/>
    <cellStyle name="Followed Hyperlink" xfId="5499" builtinId="9" hidden="1"/>
    <cellStyle name="Followed Hyperlink" xfId="5495" builtinId="9" hidden="1"/>
    <cellStyle name="Followed Hyperlink" xfId="5491" builtinId="9" hidden="1"/>
    <cellStyle name="Followed Hyperlink" xfId="5487" builtinId="9" hidden="1"/>
    <cellStyle name="Followed Hyperlink" xfId="5483" builtinId="9" hidden="1"/>
    <cellStyle name="Followed Hyperlink" xfId="5479" builtinId="9" hidden="1"/>
    <cellStyle name="Followed Hyperlink" xfId="5475" builtinId="9" hidden="1"/>
    <cellStyle name="Followed Hyperlink" xfId="5471" builtinId="9" hidden="1"/>
    <cellStyle name="Followed Hyperlink" xfId="5467" builtinId="9" hidden="1"/>
    <cellStyle name="Followed Hyperlink" xfId="5463" builtinId="9" hidden="1"/>
    <cellStyle name="Followed Hyperlink" xfId="5459" builtinId="9" hidden="1"/>
    <cellStyle name="Followed Hyperlink" xfId="5455" builtinId="9" hidden="1"/>
    <cellStyle name="Followed Hyperlink" xfId="5451" builtinId="9" hidden="1"/>
    <cellStyle name="Followed Hyperlink" xfId="5447" builtinId="9" hidden="1"/>
    <cellStyle name="Followed Hyperlink" xfId="5443" builtinId="9" hidden="1"/>
    <cellStyle name="Followed Hyperlink" xfId="5439" builtinId="9" hidden="1"/>
    <cellStyle name="Followed Hyperlink" xfId="5435" builtinId="9" hidden="1"/>
    <cellStyle name="Followed Hyperlink" xfId="5431" builtinId="9" hidden="1"/>
    <cellStyle name="Followed Hyperlink" xfId="5427" builtinId="9" hidden="1"/>
    <cellStyle name="Followed Hyperlink" xfId="5423" builtinId="9" hidden="1"/>
    <cellStyle name="Followed Hyperlink" xfId="5419" builtinId="9" hidden="1"/>
    <cellStyle name="Followed Hyperlink" xfId="5415" builtinId="9" hidden="1"/>
    <cellStyle name="Followed Hyperlink" xfId="5411" builtinId="9" hidden="1"/>
    <cellStyle name="Followed Hyperlink" xfId="5407" builtinId="9" hidden="1"/>
    <cellStyle name="Followed Hyperlink" xfId="5403" builtinId="9" hidden="1"/>
    <cellStyle name="Followed Hyperlink" xfId="5399" builtinId="9" hidden="1"/>
    <cellStyle name="Followed Hyperlink" xfId="5395" builtinId="9" hidden="1"/>
    <cellStyle name="Followed Hyperlink" xfId="5391" builtinId="9" hidden="1"/>
    <cellStyle name="Followed Hyperlink" xfId="5387" builtinId="9" hidden="1"/>
    <cellStyle name="Followed Hyperlink" xfId="5383" builtinId="9" hidden="1"/>
    <cellStyle name="Followed Hyperlink" xfId="5379" builtinId="9" hidden="1"/>
    <cellStyle name="Followed Hyperlink" xfId="5375" builtinId="9" hidden="1"/>
    <cellStyle name="Followed Hyperlink" xfId="5371" builtinId="9" hidden="1"/>
    <cellStyle name="Followed Hyperlink" xfId="5367" builtinId="9" hidden="1"/>
    <cellStyle name="Followed Hyperlink" xfId="5363" builtinId="9" hidden="1"/>
    <cellStyle name="Followed Hyperlink" xfId="5359" builtinId="9" hidden="1"/>
    <cellStyle name="Followed Hyperlink" xfId="5355" builtinId="9" hidden="1"/>
    <cellStyle name="Followed Hyperlink" xfId="5351" builtinId="9" hidden="1"/>
    <cellStyle name="Followed Hyperlink" xfId="5347" builtinId="9" hidden="1"/>
    <cellStyle name="Followed Hyperlink" xfId="5343" builtinId="9" hidden="1"/>
    <cellStyle name="Followed Hyperlink" xfId="5339" builtinId="9" hidden="1"/>
    <cellStyle name="Followed Hyperlink" xfId="5335" builtinId="9" hidden="1"/>
    <cellStyle name="Followed Hyperlink" xfId="5331" builtinId="9" hidden="1"/>
    <cellStyle name="Followed Hyperlink" xfId="5327" builtinId="9" hidden="1"/>
    <cellStyle name="Followed Hyperlink" xfId="5323" builtinId="9" hidden="1"/>
    <cellStyle name="Followed Hyperlink" xfId="5319" builtinId="9" hidden="1"/>
    <cellStyle name="Followed Hyperlink" xfId="5315" builtinId="9" hidden="1"/>
    <cellStyle name="Followed Hyperlink" xfId="5311" builtinId="9" hidden="1"/>
    <cellStyle name="Followed Hyperlink" xfId="5307" builtinId="9" hidden="1"/>
    <cellStyle name="Followed Hyperlink" xfId="5303" builtinId="9" hidden="1"/>
    <cellStyle name="Followed Hyperlink" xfId="5299" builtinId="9" hidden="1"/>
    <cellStyle name="Followed Hyperlink" xfId="5295" builtinId="9" hidden="1"/>
    <cellStyle name="Followed Hyperlink" xfId="5291" builtinId="9" hidden="1"/>
    <cellStyle name="Followed Hyperlink" xfId="5287" builtinId="9" hidden="1"/>
    <cellStyle name="Followed Hyperlink" xfId="5283" builtinId="9" hidden="1"/>
    <cellStyle name="Followed Hyperlink" xfId="5279" builtinId="9" hidden="1"/>
    <cellStyle name="Followed Hyperlink" xfId="5275" builtinId="9" hidden="1"/>
    <cellStyle name="Followed Hyperlink" xfId="5271" builtinId="9" hidden="1"/>
    <cellStyle name="Followed Hyperlink" xfId="5267" builtinId="9" hidden="1"/>
    <cellStyle name="Followed Hyperlink" xfId="5263" builtinId="9" hidden="1"/>
    <cellStyle name="Followed Hyperlink" xfId="5259" builtinId="9" hidden="1"/>
    <cellStyle name="Followed Hyperlink" xfId="5255" builtinId="9" hidden="1"/>
    <cellStyle name="Followed Hyperlink" xfId="5251" builtinId="9" hidden="1"/>
    <cellStyle name="Followed Hyperlink" xfId="5247" builtinId="9" hidden="1"/>
    <cellStyle name="Followed Hyperlink" xfId="5243" builtinId="9" hidden="1"/>
    <cellStyle name="Followed Hyperlink" xfId="5239" builtinId="9" hidden="1"/>
    <cellStyle name="Followed Hyperlink" xfId="5235" builtinId="9" hidden="1"/>
    <cellStyle name="Followed Hyperlink" xfId="5231" builtinId="9" hidden="1"/>
    <cellStyle name="Followed Hyperlink" xfId="5227" builtinId="9" hidden="1"/>
    <cellStyle name="Followed Hyperlink" xfId="5223" builtinId="9" hidden="1"/>
    <cellStyle name="Followed Hyperlink" xfId="5219" builtinId="9" hidden="1"/>
    <cellStyle name="Followed Hyperlink" xfId="5215" builtinId="9" hidden="1"/>
    <cellStyle name="Followed Hyperlink" xfId="5211" builtinId="9" hidden="1"/>
    <cellStyle name="Followed Hyperlink" xfId="5207" builtinId="9" hidden="1"/>
    <cellStyle name="Followed Hyperlink" xfId="5203" builtinId="9" hidden="1"/>
    <cellStyle name="Followed Hyperlink" xfId="5199" builtinId="9" hidden="1"/>
    <cellStyle name="Followed Hyperlink" xfId="5195" builtinId="9" hidden="1"/>
    <cellStyle name="Followed Hyperlink" xfId="5191" builtinId="9" hidden="1"/>
    <cellStyle name="Followed Hyperlink" xfId="5187" builtinId="9" hidden="1"/>
    <cellStyle name="Followed Hyperlink" xfId="5183" builtinId="9" hidden="1"/>
    <cellStyle name="Followed Hyperlink" xfId="5179" builtinId="9" hidden="1"/>
    <cellStyle name="Followed Hyperlink" xfId="5175" builtinId="9" hidden="1"/>
    <cellStyle name="Followed Hyperlink" xfId="5171" builtinId="9" hidden="1"/>
    <cellStyle name="Followed Hyperlink" xfId="5167" builtinId="9" hidden="1"/>
    <cellStyle name="Followed Hyperlink" xfId="5163" builtinId="9" hidden="1"/>
    <cellStyle name="Followed Hyperlink" xfId="5159" builtinId="9" hidden="1"/>
    <cellStyle name="Followed Hyperlink" xfId="5155" builtinId="9" hidden="1"/>
    <cellStyle name="Followed Hyperlink" xfId="5151" builtinId="9" hidden="1"/>
    <cellStyle name="Followed Hyperlink" xfId="5147" builtinId="9" hidden="1"/>
    <cellStyle name="Followed Hyperlink" xfId="5143" builtinId="9" hidden="1"/>
    <cellStyle name="Followed Hyperlink" xfId="5139" builtinId="9" hidden="1"/>
    <cellStyle name="Followed Hyperlink" xfId="5135" builtinId="9" hidden="1"/>
    <cellStyle name="Followed Hyperlink" xfId="5131" builtinId="9" hidden="1"/>
    <cellStyle name="Followed Hyperlink" xfId="5127" builtinId="9" hidden="1"/>
    <cellStyle name="Followed Hyperlink" xfId="5123" builtinId="9" hidden="1"/>
    <cellStyle name="Followed Hyperlink" xfId="5119" builtinId="9" hidden="1"/>
    <cellStyle name="Followed Hyperlink" xfId="5115" builtinId="9" hidden="1"/>
    <cellStyle name="Followed Hyperlink" xfId="5111" builtinId="9" hidden="1"/>
    <cellStyle name="Followed Hyperlink" xfId="5107" builtinId="9" hidden="1"/>
    <cellStyle name="Followed Hyperlink" xfId="5103" builtinId="9" hidden="1"/>
    <cellStyle name="Followed Hyperlink" xfId="5099" builtinId="9" hidden="1"/>
    <cellStyle name="Followed Hyperlink" xfId="5095" builtinId="9" hidden="1"/>
    <cellStyle name="Followed Hyperlink" xfId="5091" builtinId="9" hidden="1"/>
    <cellStyle name="Followed Hyperlink" xfId="5087" builtinId="9" hidden="1"/>
    <cellStyle name="Followed Hyperlink" xfId="5083" builtinId="9" hidden="1"/>
    <cellStyle name="Followed Hyperlink" xfId="5079" builtinId="9" hidden="1"/>
    <cellStyle name="Followed Hyperlink" xfId="5075" builtinId="9" hidden="1"/>
    <cellStyle name="Followed Hyperlink" xfId="5071" builtinId="9" hidden="1"/>
    <cellStyle name="Followed Hyperlink" xfId="5067" builtinId="9" hidden="1"/>
    <cellStyle name="Followed Hyperlink" xfId="5063" builtinId="9" hidden="1"/>
    <cellStyle name="Followed Hyperlink" xfId="5059" builtinId="9" hidden="1"/>
    <cellStyle name="Followed Hyperlink" xfId="5055" builtinId="9" hidden="1"/>
    <cellStyle name="Followed Hyperlink" xfId="5051" builtinId="9" hidden="1"/>
    <cellStyle name="Followed Hyperlink" xfId="5047" builtinId="9" hidden="1"/>
    <cellStyle name="Followed Hyperlink" xfId="5043" builtinId="9" hidden="1"/>
    <cellStyle name="Followed Hyperlink" xfId="5039" builtinId="9" hidden="1"/>
    <cellStyle name="Followed Hyperlink" xfId="5035" builtinId="9" hidden="1"/>
    <cellStyle name="Followed Hyperlink" xfId="5031" builtinId="9" hidden="1"/>
    <cellStyle name="Followed Hyperlink" xfId="5027" builtinId="9" hidden="1"/>
    <cellStyle name="Followed Hyperlink" xfId="5023" builtinId="9" hidden="1"/>
    <cellStyle name="Followed Hyperlink" xfId="5019" builtinId="9" hidden="1"/>
    <cellStyle name="Followed Hyperlink" xfId="5015" builtinId="9" hidden="1"/>
    <cellStyle name="Followed Hyperlink" xfId="5011" builtinId="9" hidden="1"/>
    <cellStyle name="Followed Hyperlink" xfId="5007" builtinId="9" hidden="1"/>
    <cellStyle name="Followed Hyperlink" xfId="5003" builtinId="9" hidden="1"/>
    <cellStyle name="Followed Hyperlink" xfId="4999" builtinId="9" hidden="1"/>
    <cellStyle name="Followed Hyperlink" xfId="4995" builtinId="9" hidden="1"/>
    <cellStyle name="Followed Hyperlink" xfId="4991" builtinId="9" hidden="1"/>
    <cellStyle name="Followed Hyperlink" xfId="4987" builtinId="9" hidden="1"/>
    <cellStyle name="Followed Hyperlink" xfId="4983" builtinId="9" hidden="1"/>
    <cellStyle name="Followed Hyperlink" xfId="4979" builtinId="9" hidden="1"/>
    <cellStyle name="Followed Hyperlink" xfId="4975" builtinId="9" hidden="1"/>
    <cellStyle name="Followed Hyperlink" xfId="4971" builtinId="9" hidden="1"/>
    <cellStyle name="Followed Hyperlink" xfId="4967" builtinId="9" hidden="1"/>
    <cellStyle name="Followed Hyperlink" xfId="4963" builtinId="9" hidden="1"/>
    <cellStyle name="Followed Hyperlink" xfId="4959" builtinId="9" hidden="1"/>
    <cellStyle name="Followed Hyperlink" xfId="4955" builtinId="9" hidden="1"/>
    <cellStyle name="Followed Hyperlink" xfId="4951" builtinId="9" hidden="1"/>
    <cellStyle name="Followed Hyperlink" xfId="4947" builtinId="9" hidden="1"/>
    <cellStyle name="Followed Hyperlink" xfId="4943" builtinId="9" hidden="1"/>
    <cellStyle name="Followed Hyperlink" xfId="4939" builtinId="9" hidden="1"/>
    <cellStyle name="Followed Hyperlink" xfId="4935" builtinId="9" hidden="1"/>
    <cellStyle name="Followed Hyperlink" xfId="4931" builtinId="9" hidden="1"/>
    <cellStyle name="Followed Hyperlink" xfId="4927" builtinId="9" hidden="1"/>
    <cellStyle name="Followed Hyperlink" xfId="4923" builtinId="9" hidden="1"/>
    <cellStyle name="Followed Hyperlink" xfId="4919" builtinId="9" hidden="1"/>
    <cellStyle name="Followed Hyperlink" xfId="4915" builtinId="9" hidden="1"/>
    <cellStyle name="Followed Hyperlink" xfId="4911" builtinId="9" hidden="1"/>
    <cellStyle name="Followed Hyperlink" xfId="4907" builtinId="9" hidden="1"/>
    <cellStyle name="Followed Hyperlink" xfId="4903" builtinId="9" hidden="1"/>
    <cellStyle name="Followed Hyperlink" xfId="4899" builtinId="9" hidden="1"/>
    <cellStyle name="Followed Hyperlink" xfId="4895" builtinId="9" hidden="1"/>
    <cellStyle name="Followed Hyperlink" xfId="4891" builtinId="9" hidden="1"/>
    <cellStyle name="Followed Hyperlink" xfId="4887" builtinId="9" hidden="1"/>
    <cellStyle name="Followed Hyperlink" xfId="4883" builtinId="9" hidden="1"/>
    <cellStyle name="Followed Hyperlink" xfId="4879" builtinId="9" hidden="1"/>
    <cellStyle name="Followed Hyperlink" xfId="4875" builtinId="9" hidden="1"/>
    <cellStyle name="Followed Hyperlink" xfId="4871" builtinId="9" hidden="1"/>
    <cellStyle name="Followed Hyperlink" xfId="4867" builtinId="9" hidden="1"/>
    <cellStyle name="Followed Hyperlink" xfId="4863" builtinId="9" hidden="1"/>
    <cellStyle name="Followed Hyperlink" xfId="4859" builtinId="9" hidden="1"/>
    <cellStyle name="Followed Hyperlink" xfId="4855" builtinId="9" hidden="1"/>
    <cellStyle name="Followed Hyperlink" xfId="4851" builtinId="9" hidden="1"/>
    <cellStyle name="Followed Hyperlink" xfId="4847" builtinId="9" hidden="1"/>
    <cellStyle name="Followed Hyperlink" xfId="4843" builtinId="9" hidden="1"/>
    <cellStyle name="Followed Hyperlink" xfId="4839" builtinId="9" hidden="1"/>
    <cellStyle name="Followed Hyperlink" xfId="4835" builtinId="9" hidden="1"/>
    <cellStyle name="Followed Hyperlink" xfId="4831" builtinId="9" hidden="1"/>
    <cellStyle name="Followed Hyperlink" xfId="4827" builtinId="9" hidden="1"/>
    <cellStyle name="Followed Hyperlink" xfId="4823" builtinId="9" hidden="1"/>
    <cellStyle name="Followed Hyperlink" xfId="4819" builtinId="9" hidden="1"/>
    <cellStyle name="Followed Hyperlink" xfId="4815" builtinId="9" hidden="1"/>
    <cellStyle name="Followed Hyperlink" xfId="4811" builtinId="9" hidden="1"/>
    <cellStyle name="Followed Hyperlink" xfId="4807" builtinId="9" hidden="1"/>
    <cellStyle name="Followed Hyperlink" xfId="4803" builtinId="9" hidden="1"/>
    <cellStyle name="Followed Hyperlink" xfId="4799" builtinId="9" hidden="1"/>
    <cellStyle name="Followed Hyperlink" xfId="4795" builtinId="9" hidden="1"/>
    <cellStyle name="Followed Hyperlink" xfId="4791" builtinId="9" hidden="1"/>
    <cellStyle name="Followed Hyperlink" xfId="4787" builtinId="9" hidden="1"/>
    <cellStyle name="Followed Hyperlink" xfId="4783" builtinId="9" hidden="1"/>
    <cellStyle name="Followed Hyperlink" xfId="4779" builtinId="9" hidden="1"/>
    <cellStyle name="Followed Hyperlink" xfId="4775" builtinId="9" hidden="1"/>
    <cellStyle name="Followed Hyperlink" xfId="4771" builtinId="9" hidden="1"/>
    <cellStyle name="Followed Hyperlink" xfId="4767" builtinId="9" hidden="1"/>
    <cellStyle name="Followed Hyperlink" xfId="4763" builtinId="9" hidden="1"/>
    <cellStyle name="Followed Hyperlink" xfId="4759" builtinId="9" hidden="1"/>
    <cellStyle name="Followed Hyperlink" xfId="4755" builtinId="9" hidden="1"/>
    <cellStyle name="Followed Hyperlink" xfId="4751" builtinId="9" hidden="1"/>
    <cellStyle name="Followed Hyperlink" xfId="4747" builtinId="9" hidden="1"/>
    <cellStyle name="Followed Hyperlink" xfId="4743" builtinId="9" hidden="1"/>
    <cellStyle name="Followed Hyperlink" xfId="4739" builtinId="9" hidden="1"/>
    <cellStyle name="Followed Hyperlink" xfId="4735" builtinId="9" hidden="1"/>
    <cellStyle name="Followed Hyperlink" xfId="4731" builtinId="9" hidden="1"/>
    <cellStyle name="Followed Hyperlink" xfId="4727" builtinId="9" hidden="1"/>
    <cellStyle name="Followed Hyperlink" xfId="4723" builtinId="9" hidden="1"/>
    <cellStyle name="Followed Hyperlink" xfId="4719" builtinId="9" hidden="1"/>
    <cellStyle name="Followed Hyperlink" xfId="4715" builtinId="9" hidden="1"/>
    <cellStyle name="Followed Hyperlink" xfId="4711" builtinId="9" hidden="1"/>
    <cellStyle name="Followed Hyperlink" xfId="4707" builtinId="9" hidden="1"/>
    <cellStyle name="Followed Hyperlink" xfId="4703" builtinId="9" hidden="1"/>
    <cellStyle name="Followed Hyperlink" xfId="4699" builtinId="9" hidden="1"/>
    <cellStyle name="Followed Hyperlink" xfId="4695" builtinId="9" hidden="1"/>
    <cellStyle name="Followed Hyperlink" xfId="4691" builtinId="9" hidden="1"/>
    <cellStyle name="Followed Hyperlink" xfId="4687" builtinId="9" hidden="1"/>
    <cellStyle name="Followed Hyperlink" xfId="4683" builtinId="9" hidden="1"/>
    <cellStyle name="Followed Hyperlink" xfId="4679" builtinId="9" hidden="1"/>
    <cellStyle name="Followed Hyperlink" xfId="4675" builtinId="9" hidden="1"/>
    <cellStyle name="Followed Hyperlink" xfId="4671" builtinId="9" hidden="1"/>
    <cellStyle name="Followed Hyperlink" xfId="4667" builtinId="9" hidden="1"/>
    <cellStyle name="Followed Hyperlink" xfId="4663" builtinId="9" hidden="1"/>
    <cellStyle name="Followed Hyperlink" xfId="4659" builtinId="9" hidden="1"/>
    <cellStyle name="Followed Hyperlink" xfId="4655" builtinId="9" hidden="1"/>
    <cellStyle name="Followed Hyperlink" xfId="4651" builtinId="9" hidden="1"/>
    <cellStyle name="Followed Hyperlink" xfId="4647" builtinId="9" hidden="1"/>
    <cellStyle name="Followed Hyperlink" xfId="4643" builtinId="9" hidden="1"/>
    <cellStyle name="Followed Hyperlink" xfId="4639" builtinId="9" hidden="1"/>
    <cellStyle name="Followed Hyperlink" xfId="4635" builtinId="9" hidden="1"/>
    <cellStyle name="Followed Hyperlink" xfId="4631" builtinId="9" hidden="1"/>
    <cellStyle name="Followed Hyperlink" xfId="4627" builtinId="9" hidden="1"/>
    <cellStyle name="Followed Hyperlink" xfId="4623" builtinId="9" hidden="1"/>
    <cellStyle name="Followed Hyperlink" xfId="4619" builtinId="9" hidden="1"/>
    <cellStyle name="Followed Hyperlink" xfId="4615" builtinId="9" hidden="1"/>
    <cellStyle name="Followed Hyperlink" xfId="4611" builtinId="9" hidden="1"/>
    <cellStyle name="Followed Hyperlink" xfId="4607" builtinId="9" hidden="1"/>
    <cellStyle name="Followed Hyperlink" xfId="4603" builtinId="9" hidden="1"/>
    <cellStyle name="Followed Hyperlink" xfId="4599" builtinId="9" hidden="1"/>
    <cellStyle name="Followed Hyperlink" xfId="4595" builtinId="9" hidden="1"/>
    <cellStyle name="Followed Hyperlink" xfId="4591" builtinId="9" hidden="1"/>
    <cellStyle name="Followed Hyperlink" xfId="4587" builtinId="9" hidden="1"/>
    <cellStyle name="Followed Hyperlink" xfId="4583" builtinId="9" hidden="1"/>
    <cellStyle name="Followed Hyperlink" xfId="4579" builtinId="9" hidden="1"/>
    <cellStyle name="Followed Hyperlink" xfId="4575" builtinId="9" hidden="1"/>
    <cellStyle name="Followed Hyperlink" xfId="4571" builtinId="9" hidden="1"/>
    <cellStyle name="Followed Hyperlink" xfId="4567" builtinId="9" hidden="1"/>
    <cellStyle name="Followed Hyperlink" xfId="4563" builtinId="9" hidden="1"/>
    <cellStyle name="Followed Hyperlink" xfId="4559" builtinId="9" hidden="1"/>
    <cellStyle name="Followed Hyperlink" xfId="4555" builtinId="9" hidden="1"/>
    <cellStyle name="Followed Hyperlink" xfId="4551" builtinId="9" hidden="1"/>
    <cellStyle name="Followed Hyperlink" xfId="4547" builtinId="9" hidden="1"/>
    <cellStyle name="Followed Hyperlink" xfId="4543" builtinId="9" hidden="1"/>
    <cellStyle name="Followed Hyperlink" xfId="4539" builtinId="9" hidden="1"/>
    <cellStyle name="Followed Hyperlink" xfId="4535" builtinId="9" hidden="1"/>
    <cellStyle name="Followed Hyperlink" xfId="4531" builtinId="9" hidden="1"/>
    <cellStyle name="Followed Hyperlink" xfId="4527" builtinId="9" hidden="1"/>
    <cellStyle name="Followed Hyperlink" xfId="4523" builtinId="9" hidden="1"/>
    <cellStyle name="Followed Hyperlink" xfId="4519" builtinId="9" hidden="1"/>
    <cellStyle name="Followed Hyperlink" xfId="4515" builtinId="9" hidden="1"/>
    <cellStyle name="Followed Hyperlink" xfId="4511" builtinId="9" hidden="1"/>
    <cellStyle name="Followed Hyperlink" xfId="4507" builtinId="9" hidden="1"/>
    <cellStyle name="Followed Hyperlink" xfId="4503" builtinId="9" hidden="1"/>
    <cellStyle name="Followed Hyperlink" xfId="4499" builtinId="9" hidden="1"/>
    <cellStyle name="Followed Hyperlink" xfId="4495" builtinId="9" hidden="1"/>
    <cellStyle name="Followed Hyperlink" xfId="4491" builtinId="9" hidden="1"/>
    <cellStyle name="Followed Hyperlink" xfId="4487" builtinId="9" hidden="1"/>
    <cellStyle name="Followed Hyperlink" xfId="4483" builtinId="9" hidden="1"/>
    <cellStyle name="Followed Hyperlink" xfId="4479" builtinId="9" hidden="1"/>
    <cellStyle name="Followed Hyperlink" xfId="4475" builtinId="9" hidden="1"/>
    <cellStyle name="Followed Hyperlink" xfId="4471" builtinId="9" hidden="1"/>
    <cellStyle name="Followed Hyperlink" xfId="4467" builtinId="9" hidden="1"/>
    <cellStyle name="Followed Hyperlink" xfId="4463" builtinId="9" hidden="1"/>
    <cellStyle name="Followed Hyperlink" xfId="4459" builtinId="9" hidden="1"/>
    <cellStyle name="Followed Hyperlink" xfId="4455" builtinId="9" hidden="1"/>
    <cellStyle name="Followed Hyperlink" xfId="4451" builtinId="9" hidden="1"/>
    <cellStyle name="Followed Hyperlink" xfId="4447" builtinId="9" hidden="1"/>
    <cellStyle name="Followed Hyperlink" xfId="4443" builtinId="9" hidden="1"/>
    <cellStyle name="Followed Hyperlink" xfId="4439" builtinId="9" hidden="1"/>
    <cellStyle name="Followed Hyperlink" xfId="4435" builtinId="9" hidden="1"/>
    <cellStyle name="Followed Hyperlink" xfId="4431" builtinId="9" hidden="1"/>
    <cellStyle name="Followed Hyperlink" xfId="4427" builtinId="9" hidden="1"/>
    <cellStyle name="Followed Hyperlink" xfId="4423" builtinId="9" hidden="1"/>
    <cellStyle name="Followed Hyperlink" xfId="4419" builtinId="9" hidden="1"/>
    <cellStyle name="Followed Hyperlink" xfId="4415" builtinId="9" hidden="1"/>
    <cellStyle name="Followed Hyperlink" xfId="4411" builtinId="9" hidden="1"/>
    <cellStyle name="Followed Hyperlink" xfId="4407" builtinId="9" hidden="1"/>
    <cellStyle name="Followed Hyperlink" xfId="4403" builtinId="9" hidden="1"/>
    <cellStyle name="Followed Hyperlink" xfId="4399" builtinId="9" hidden="1"/>
    <cellStyle name="Followed Hyperlink" xfId="4395" builtinId="9" hidden="1"/>
    <cellStyle name="Followed Hyperlink" xfId="4391" builtinId="9" hidden="1"/>
    <cellStyle name="Followed Hyperlink" xfId="4387" builtinId="9" hidden="1"/>
    <cellStyle name="Followed Hyperlink" xfId="4383" builtinId="9" hidden="1"/>
    <cellStyle name="Followed Hyperlink" xfId="4379" builtinId="9" hidden="1"/>
    <cellStyle name="Followed Hyperlink" xfId="4375" builtinId="9" hidden="1"/>
    <cellStyle name="Followed Hyperlink" xfId="4371" builtinId="9" hidden="1"/>
    <cellStyle name="Followed Hyperlink" xfId="4367" builtinId="9" hidden="1"/>
    <cellStyle name="Followed Hyperlink" xfId="4363" builtinId="9" hidden="1"/>
    <cellStyle name="Followed Hyperlink" xfId="4359" builtinId="9" hidden="1"/>
    <cellStyle name="Followed Hyperlink" xfId="4355" builtinId="9" hidden="1"/>
    <cellStyle name="Followed Hyperlink" xfId="4351" builtinId="9" hidden="1"/>
    <cellStyle name="Followed Hyperlink" xfId="4347" builtinId="9" hidden="1"/>
    <cellStyle name="Followed Hyperlink" xfId="4343" builtinId="9" hidden="1"/>
    <cellStyle name="Followed Hyperlink" xfId="4339" builtinId="9" hidden="1"/>
    <cellStyle name="Followed Hyperlink" xfId="4335" builtinId="9" hidden="1"/>
    <cellStyle name="Followed Hyperlink" xfId="4331" builtinId="9" hidden="1"/>
    <cellStyle name="Followed Hyperlink" xfId="4327" builtinId="9" hidden="1"/>
    <cellStyle name="Followed Hyperlink" xfId="4323" builtinId="9" hidden="1"/>
    <cellStyle name="Followed Hyperlink" xfId="4319" builtinId="9" hidden="1"/>
    <cellStyle name="Followed Hyperlink" xfId="4315" builtinId="9" hidden="1"/>
    <cellStyle name="Followed Hyperlink" xfId="4311" builtinId="9" hidden="1"/>
    <cellStyle name="Followed Hyperlink" xfId="4307" builtinId="9" hidden="1"/>
    <cellStyle name="Followed Hyperlink" xfId="4303" builtinId="9" hidden="1"/>
    <cellStyle name="Followed Hyperlink" xfId="4299" builtinId="9" hidden="1"/>
    <cellStyle name="Followed Hyperlink" xfId="4295" builtinId="9" hidden="1"/>
    <cellStyle name="Followed Hyperlink" xfId="4291" builtinId="9" hidden="1"/>
    <cellStyle name="Followed Hyperlink" xfId="4287" builtinId="9" hidden="1"/>
    <cellStyle name="Followed Hyperlink" xfId="4283" builtinId="9" hidden="1"/>
    <cellStyle name="Followed Hyperlink" xfId="4279" builtinId="9" hidden="1"/>
    <cellStyle name="Followed Hyperlink" xfId="4275" builtinId="9" hidden="1"/>
    <cellStyle name="Followed Hyperlink" xfId="4271" builtinId="9" hidden="1"/>
    <cellStyle name="Followed Hyperlink" xfId="4267" builtinId="9" hidden="1"/>
    <cellStyle name="Followed Hyperlink" xfId="4263" builtinId="9" hidden="1"/>
    <cellStyle name="Followed Hyperlink" xfId="4259" builtinId="9" hidden="1"/>
    <cellStyle name="Followed Hyperlink" xfId="4255" builtinId="9" hidden="1"/>
    <cellStyle name="Followed Hyperlink" xfId="4251" builtinId="9" hidden="1"/>
    <cellStyle name="Followed Hyperlink" xfId="4247" builtinId="9" hidden="1"/>
    <cellStyle name="Followed Hyperlink" xfId="4243" builtinId="9" hidden="1"/>
    <cellStyle name="Followed Hyperlink" xfId="4239" builtinId="9" hidden="1"/>
    <cellStyle name="Followed Hyperlink" xfId="4235" builtinId="9" hidden="1"/>
    <cellStyle name="Followed Hyperlink" xfId="4231" builtinId="9" hidden="1"/>
    <cellStyle name="Followed Hyperlink" xfId="4227" builtinId="9" hidden="1"/>
    <cellStyle name="Followed Hyperlink" xfId="4223" builtinId="9" hidden="1"/>
    <cellStyle name="Followed Hyperlink" xfId="4219" builtinId="9" hidden="1"/>
    <cellStyle name="Followed Hyperlink" xfId="4215" builtinId="9" hidden="1"/>
    <cellStyle name="Followed Hyperlink" xfId="4211" builtinId="9" hidden="1"/>
    <cellStyle name="Followed Hyperlink" xfId="4207" builtinId="9" hidden="1"/>
    <cellStyle name="Followed Hyperlink" xfId="4203" builtinId="9" hidden="1"/>
    <cellStyle name="Followed Hyperlink" xfId="4199" builtinId="9" hidden="1"/>
    <cellStyle name="Followed Hyperlink" xfId="4195" builtinId="9" hidden="1"/>
    <cellStyle name="Followed Hyperlink" xfId="4191" builtinId="9" hidden="1"/>
    <cellStyle name="Followed Hyperlink" xfId="4187" builtinId="9" hidden="1"/>
    <cellStyle name="Followed Hyperlink" xfId="4183" builtinId="9" hidden="1"/>
    <cellStyle name="Followed Hyperlink" xfId="4179" builtinId="9" hidden="1"/>
    <cellStyle name="Followed Hyperlink" xfId="4175" builtinId="9" hidden="1"/>
    <cellStyle name="Followed Hyperlink" xfId="4171" builtinId="9" hidden="1"/>
    <cellStyle name="Followed Hyperlink" xfId="4167" builtinId="9" hidden="1"/>
    <cellStyle name="Followed Hyperlink" xfId="4163" builtinId="9" hidden="1"/>
    <cellStyle name="Followed Hyperlink" xfId="4159" builtinId="9" hidden="1"/>
    <cellStyle name="Followed Hyperlink" xfId="4155" builtinId="9" hidden="1"/>
    <cellStyle name="Followed Hyperlink" xfId="4151" builtinId="9" hidden="1"/>
    <cellStyle name="Followed Hyperlink" xfId="4147" builtinId="9" hidden="1"/>
    <cellStyle name="Followed Hyperlink" xfId="4143" builtinId="9" hidden="1"/>
    <cellStyle name="Followed Hyperlink" xfId="4139" builtinId="9" hidden="1"/>
    <cellStyle name="Followed Hyperlink" xfId="4135" builtinId="9" hidden="1"/>
    <cellStyle name="Followed Hyperlink" xfId="4131" builtinId="9" hidden="1"/>
    <cellStyle name="Followed Hyperlink" xfId="4127" builtinId="9" hidden="1"/>
    <cellStyle name="Followed Hyperlink" xfId="4123" builtinId="9" hidden="1"/>
    <cellStyle name="Followed Hyperlink" xfId="4119" builtinId="9" hidden="1"/>
    <cellStyle name="Followed Hyperlink" xfId="4115" builtinId="9" hidden="1"/>
    <cellStyle name="Followed Hyperlink" xfId="4111" builtinId="9" hidden="1"/>
    <cellStyle name="Followed Hyperlink" xfId="4107" builtinId="9" hidden="1"/>
    <cellStyle name="Followed Hyperlink" xfId="4103" builtinId="9" hidden="1"/>
    <cellStyle name="Followed Hyperlink" xfId="4099" builtinId="9" hidden="1"/>
    <cellStyle name="Followed Hyperlink" xfId="4095" builtinId="9" hidden="1"/>
    <cellStyle name="Followed Hyperlink" xfId="4091" builtinId="9" hidden="1"/>
    <cellStyle name="Followed Hyperlink" xfId="4087" builtinId="9" hidden="1"/>
    <cellStyle name="Followed Hyperlink" xfId="4083" builtinId="9" hidden="1"/>
    <cellStyle name="Followed Hyperlink" xfId="4079" builtinId="9" hidden="1"/>
    <cellStyle name="Followed Hyperlink" xfId="4075" builtinId="9" hidden="1"/>
    <cellStyle name="Followed Hyperlink" xfId="4071" builtinId="9" hidden="1"/>
    <cellStyle name="Followed Hyperlink" xfId="4067" builtinId="9" hidden="1"/>
    <cellStyle name="Followed Hyperlink" xfId="4063" builtinId="9" hidden="1"/>
    <cellStyle name="Followed Hyperlink" xfId="4059" builtinId="9" hidden="1"/>
    <cellStyle name="Followed Hyperlink" xfId="4055" builtinId="9" hidden="1"/>
    <cellStyle name="Followed Hyperlink" xfId="4051" builtinId="9" hidden="1"/>
    <cellStyle name="Followed Hyperlink" xfId="4047" builtinId="9" hidden="1"/>
    <cellStyle name="Followed Hyperlink" xfId="4043" builtinId="9" hidden="1"/>
    <cellStyle name="Followed Hyperlink" xfId="4039" builtinId="9" hidden="1"/>
    <cellStyle name="Followed Hyperlink" xfId="4035" builtinId="9" hidden="1"/>
    <cellStyle name="Followed Hyperlink" xfId="4031" builtinId="9" hidden="1"/>
    <cellStyle name="Followed Hyperlink" xfId="4027" builtinId="9" hidden="1"/>
    <cellStyle name="Followed Hyperlink" xfId="4023" builtinId="9" hidden="1"/>
    <cellStyle name="Followed Hyperlink" xfId="4019" builtinId="9" hidden="1"/>
    <cellStyle name="Followed Hyperlink" xfId="4015" builtinId="9" hidden="1"/>
    <cellStyle name="Followed Hyperlink" xfId="4011" builtinId="9" hidden="1"/>
    <cellStyle name="Followed Hyperlink" xfId="4007" builtinId="9" hidden="1"/>
    <cellStyle name="Followed Hyperlink" xfId="4003" builtinId="9" hidden="1"/>
    <cellStyle name="Followed Hyperlink" xfId="3999" builtinId="9" hidden="1"/>
    <cellStyle name="Followed Hyperlink" xfId="3995" builtinId="9" hidden="1"/>
    <cellStyle name="Followed Hyperlink" xfId="3991" builtinId="9" hidden="1"/>
    <cellStyle name="Followed Hyperlink" xfId="3987" builtinId="9" hidden="1"/>
    <cellStyle name="Followed Hyperlink" xfId="3983" builtinId="9" hidden="1"/>
    <cellStyle name="Followed Hyperlink" xfId="3979" builtinId="9" hidden="1"/>
    <cellStyle name="Followed Hyperlink" xfId="3975" builtinId="9" hidden="1"/>
    <cellStyle name="Followed Hyperlink" xfId="3971" builtinId="9" hidden="1"/>
    <cellStyle name="Followed Hyperlink" xfId="3967" builtinId="9" hidden="1"/>
    <cellStyle name="Followed Hyperlink" xfId="3963" builtinId="9" hidden="1"/>
    <cellStyle name="Followed Hyperlink" xfId="3959" builtinId="9" hidden="1"/>
    <cellStyle name="Followed Hyperlink" xfId="3955" builtinId="9" hidden="1"/>
    <cellStyle name="Followed Hyperlink" xfId="3951" builtinId="9" hidden="1"/>
    <cellStyle name="Followed Hyperlink" xfId="3947" builtinId="9" hidden="1"/>
    <cellStyle name="Followed Hyperlink" xfId="3943" builtinId="9" hidden="1"/>
    <cellStyle name="Followed Hyperlink" xfId="3939" builtinId="9" hidden="1"/>
    <cellStyle name="Followed Hyperlink" xfId="3935" builtinId="9" hidden="1"/>
    <cellStyle name="Followed Hyperlink" xfId="3931" builtinId="9" hidden="1"/>
    <cellStyle name="Followed Hyperlink" xfId="3927" builtinId="9" hidden="1"/>
    <cellStyle name="Followed Hyperlink" xfId="3923" builtinId="9" hidden="1"/>
    <cellStyle name="Followed Hyperlink" xfId="3919" builtinId="9" hidden="1"/>
    <cellStyle name="Followed Hyperlink" xfId="3915" builtinId="9" hidden="1"/>
    <cellStyle name="Followed Hyperlink" xfId="3911" builtinId="9" hidden="1"/>
    <cellStyle name="Followed Hyperlink" xfId="3907" builtinId="9" hidden="1"/>
    <cellStyle name="Followed Hyperlink" xfId="3903" builtinId="9" hidden="1"/>
    <cellStyle name="Followed Hyperlink" xfId="3899" builtinId="9" hidden="1"/>
    <cellStyle name="Followed Hyperlink" xfId="3895" builtinId="9" hidden="1"/>
    <cellStyle name="Followed Hyperlink" xfId="3891" builtinId="9" hidden="1"/>
    <cellStyle name="Followed Hyperlink" xfId="3887" builtinId="9" hidden="1"/>
    <cellStyle name="Followed Hyperlink" xfId="3883" builtinId="9" hidden="1"/>
    <cellStyle name="Followed Hyperlink" xfId="3879" builtinId="9" hidden="1"/>
    <cellStyle name="Followed Hyperlink" xfId="3875" builtinId="9" hidden="1"/>
    <cellStyle name="Followed Hyperlink" xfId="3871" builtinId="9" hidden="1"/>
    <cellStyle name="Followed Hyperlink" xfId="3867" builtinId="9" hidden="1"/>
    <cellStyle name="Followed Hyperlink" xfId="3863" builtinId="9" hidden="1"/>
    <cellStyle name="Followed Hyperlink" xfId="3859" builtinId="9" hidden="1"/>
    <cellStyle name="Followed Hyperlink" xfId="3855" builtinId="9" hidden="1"/>
    <cellStyle name="Followed Hyperlink" xfId="3851" builtinId="9" hidden="1"/>
    <cellStyle name="Followed Hyperlink" xfId="3847" builtinId="9" hidden="1"/>
    <cellStyle name="Followed Hyperlink" xfId="3843" builtinId="9" hidden="1"/>
    <cellStyle name="Followed Hyperlink" xfId="3839" builtinId="9" hidden="1"/>
    <cellStyle name="Followed Hyperlink" xfId="3835" builtinId="9" hidden="1"/>
    <cellStyle name="Followed Hyperlink" xfId="3831" builtinId="9" hidden="1"/>
    <cellStyle name="Followed Hyperlink" xfId="3827" builtinId="9" hidden="1"/>
    <cellStyle name="Followed Hyperlink" xfId="3823" builtinId="9" hidden="1"/>
    <cellStyle name="Followed Hyperlink" xfId="3819" builtinId="9" hidden="1"/>
    <cellStyle name="Followed Hyperlink" xfId="3815" builtinId="9" hidden="1"/>
    <cellStyle name="Followed Hyperlink" xfId="3811" builtinId="9" hidden="1"/>
    <cellStyle name="Followed Hyperlink" xfId="3807" builtinId="9" hidden="1"/>
    <cellStyle name="Followed Hyperlink" xfId="3803" builtinId="9" hidden="1"/>
    <cellStyle name="Followed Hyperlink" xfId="3799" builtinId="9" hidden="1"/>
    <cellStyle name="Followed Hyperlink" xfId="3795" builtinId="9" hidden="1"/>
    <cellStyle name="Followed Hyperlink" xfId="3791" builtinId="9" hidden="1"/>
    <cellStyle name="Followed Hyperlink" xfId="3787" builtinId="9" hidden="1"/>
    <cellStyle name="Followed Hyperlink" xfId="3783" builtinId="9" hidden="1"/>
    <cellStyle name="Followed Hyperlink" xfId="3779" builtinId="9" hidden="1"/>
    <cellStyle name="Followed Hyperlink" xfId="3775" builtinId="9" hidden="1"/>
    <cellStyle name="Followed Hyperlink" xfId="3771" builtinId="9" hidden="1"/>
    <cellStyle name="Followed Hyperlink" xfId="3767" builtinId="9" hidden="1"/>
    <cellStyle name="Followed Hyperlink" xfId="3763" builtinId="9" hidden="1"/>
    <cellStyle name="Followed Hyperlink" xfId="3759" builtinId="9" hidden="1"/>
    <cellStyle name="Followed Hyperlink" xfId="3755" builtinId="9" hidden="1"/>
    <cellStyle name="Followed Hyperlink" xfId="3751" builtinId="9" hidden="1"/>
    <cellStyle name="Followed Hyperlink" xfId="3747" builtinId="9" hidden="1"/>
    <cellStyle name="Followed Hyperlink" xfId="3743" builtinId="9" hidden="1"/>
    <cellStyle name="Followed Hyperlink" xfId="3739" builtinId="9" hidden="1"/>
    <cellStyle name="Followed Hyperlink" xfId="3735" builtinId="9" hidden="1"/>
    <cellStyle name="Followed Hyperlink" xfId="3731" builtinId="9" hidden="1"/>
    <cellStyle name="Followed Hyperlink" xfId="3727" builtinId="9" hidden="1"/>
    <cellStyle name="Followed Hyperlink" xfId="3723" builtinId="9" hidden="1"/>
    <cellStyle name="Followed Hyperlink" xfId="3719" builtinId="9" hidden="1"/>
    <cellStyle name="Followed Hyperlink" xfId="3715" builtinId="9" hidden="1"/>
    <cellStyle name="Followed Hyperlink" xfId="3711" builtinId="9" hidden="1"/>
    <cellStyle name="Followed Hyperlink" xfId="3707" builtinId="9" hidden="1"/>
    <cellStyle name="Followed Hyperlink" xfId="3703" builtinId="9" hidden="1"/>
    <cellStyle name="Followed Hyperlink" xfId="3699" builtinId="9" hidden="1"/>
    <cellStyle name="Followed Hyperlink" xfId="3695" builtinId="9" hidden="1"/>
    <cellStyle name="Followed Hyperlink" xfId="3691" builtinId="9" hidden="1"/>
    <cellStyle name="Followed Hyperlink" xfId="3687" builtinId="9" hidden="1"/>
    <cellStyle name="Followed Hyperlink" xfId="3683" builtinId="9" hidden="1"/>
    <cellStyle name="Followed Hyperlink" xfId="3679" builtinId="9" hidden="1"/>
    <cellStyle name="Followed Hyperlink" xfId="3675" builtinId="9" hidden="1"/>
    <cellStyle name="Followed Hyperlink" xfId="3671" builtinId="9" hidden="1"/>
    <cellStyle name="Followed Hyperlink" xfId="3667" builtinId="9" hidden="1"/>
    <cellStyle name="Followed Hyperlink" xfId="3663" builtinId="9" hidden="1"/>
    <cellStyle name="Followed Hyperlink" xfId="3659" builtinId="9" hidden="1"/>
    <cellStyle name="Followed Hyperlink" xfId="3655" builtinId="9" hidden="1"/>
    <cellStyle name="Followed Hyperlink" xfId="3651" builtinId="9" hidden="1"/>
    <cellStyle name="Followed Hyperlink" xfId="3647" builtinId="9" hidden="1"/>
    <cellStyle name="Followed Hyperlink" xfId="3643" builtinId="9" hidden="1"/>
    <cellStyle name="Followed Hyperlink" xfId="3639" builtinId="9" hidden="1"/>
    <cellStyle name="Followed Hyperlink" xfId="3635" builtinId="9" hidden="1"/>
    <cellStyle name="Followed Hyperlink" xfId="3631" builtinId="9" hidden="1"/>
    <cellStyle name="Followed Hyperlink" xfId="3627" builtinId="9" hidden="1"/>
    <cellStyle name="Followed Hyperlink" xfId="3623" builtinId="9" hidden="1"/>
    <cellStyle name="Followed Hyperlink" xfId="3619" builtinId="9" hidden="1"/>
    <cellStyle name="Followed Hyperlink" xfId="3615" builtinId="9" hidden="1"/>
    <cellStyle name="Followed Hyperlink" xfId="3611" builtinId="9" hidden="1"/>
    <cellStyle name="Followed Hyperlink" xfId="3607" builtinId="9" hidden="1"/>
    <cellStyle name="Followed Hyperlink" xfId="3603" builtinId="9" hidden="1"/>
    <cellStyle name="Followed Hyperlink" xfId="3599" builtinId="9" hidden="1"/>
    <cellStyle name="Followed Hyperlink" xfId="3595" builtinId="9" hidden="1"/>
    <cellStyle name="Followed Hyperlink" xfId="3591" builtinId="9" hidden="1"/>
    <cellStyle name="Followed Hyperlink" xfId="3587" builtinId="9" hidden="1"/>
    <cellStyle name="Followed Hyperlink" xfId="3583" builtinId="9" hidden="1"/>
    <cellStyle name="Followed Hyperlink" xfId="3579" builtinId="9" hidden="1"/>
    <cellStyle name="Followed Hyperlink" xfId="3575" builtinId="9" hidden="1"/>
    <cellStyle name="Followed Hyperlink" xfId="3571" builtinId="9" hidden="1"/>
    <cellStyle name="Followed Hyperlink" xfId="3567" builtinId="9" hidden="1"/>
    <cellStyle name="Followed Hyperlink" xfId="3563" builtinId="9" hidden="1"/>
    <cellStyle name="Followed Hyperlink" xfId="3559" builtinId="9" hidden="1"/>
    <cellStyle name="Followed Hyperlink" xfId="3555" builtinId="9" hidden="1"/>
    <cellStyle name="Followed Hyperlink" xfId="3551" builtinId="9" hidden="1"/>
    <cellStyle name="Followed Hyperlink" xfId="3547" builtinId="9" hidden="1"/>
    <cellStyle name="Followed Hyperlink" xfId="3543" builtinId="9" hidden="1"/>
    <cellStyle name="Followed Hyperlink" xfId="3539" builtinId="9" hidden="1"/>
    <cellStyle name="Followed Hyperlink" xfId="3535" builtinId="9" hidden="1"/>
    <cellStyle name="Followed Hyperlink" xfId="3531" builtinId="9" hidden="1"/>
    <cellStyle name="Followed Hyperlink" xfId="3527" builtinId="9" hidden="1"/>
    <cellStyle name="Followed Hyperlink" xfId="3523" builtinId="9" hidden="1"/>
    <cellStyle name="Followed Hyperlink" xfId="3519" builtinId="9" hidden="1"/>
    <cellStyle name="Followed Hyperlink" xfId="3515" builtinId="9" hidden="1"/>
    <cellStyle name="Followed Hyperlink" xfId="3511" builtinId="9" hidden="1"/>
    <cellStyle name="Followed Hyperlink" xfId="3507" builtinId="9" hidden="1"/>
    <cellStyle name="Followed Hyperlink" xfId="3503" builtinId="9" hidden="1"/>
    <cellStyle name="Followed Hyperlink" xfId="3499" builtinId="9" hidden="1"/>
    <cellStyle name="Followed Hyperlink" xfId="3495" builtinId="9" hidden="1"/>
    <cellStyle name="Followed Hyperlink" xfId="3491" builtinId="9" hidden="1"/>
    <cellStyle name="Followed Hyperlink" xfId="3487" builtinId="9" hidden="1"/>
    <cellStyle name="Followed Hyperlink" xfId="3483" builtinId="9" hidden="1"/>
    <cellStyle name="Followed Hyperlink" xfId="3479" builtinId="9" hidden="1"/>
    <cellStyle name="Followed Hyperlink" xfId="3475" builtinId="9" hidden="1"/>
    <cellStyle name="Followed Hyperlink" xfId="3471" builtinId="9" hidden="1"/>
    <cellStyle name="Followed Hyperlink" xfId="3467" builtinId="9" hidden="1"/>
    <cellStyle name="Followed Hyperlink" xfId="3463" builtinId="9" hidden="1"/>
    <cellStyle name="Followed Hyperlink" xfId="3459" builtinId="9" hidden="1"/>
    <cellStyle name="Followed Hyperlink" xfId="3455" builtinId="9" hidden="1"/>
    <cellStyle name="Followed Hyperlink" xfId="3451" builtinId="9" hidden="1"/>
    <cellStyle name="Followed Hyperlink" xfId="3447" builtinId="9" hidden="1"/>
    <cellStyle name="Followed Hyperlink" xfId="3443" builtinId="9" hidden="1"/>
    <cellStyle name="Followed Hyperlink" xfId="3439" builtinId="9" hidden="1"/>
    <cellStyle name="Followed Hyperlink" xfId="3435" builtinId="9" hidden="1"/>
    <cellStyle name="Followed Hyperlink" xfId="3431" builtinId="9" hidden="1"/>
    <cellStyle name="Followed Hyperlink" xfId="3427" builtinId="9" hidden="1"/>
    <cellStyle name="Followed Hyperlink" xfId="3423" builtinId="9" hidden="1"/>
    <cellStyle name="Followed Hyperlink" xfId="3419" builtinId="9" hidden="1"/>
    <cellStyle name="Followed Hyperlink" xfId="3415" builtinId="9" hidden="1"/>
    <cellStyle name="Followed Hyperlink" xfId="3411" builtinId="9" hidden="1"/>
    <cellStyle name="Followed Hyperlink" xfId="3407" builtinId="9" hidden="1"/>
    <cellStyle name="Followed Hyperlink" xfId="3403" builtinId="9" hidden="1"/>
    <cellStyle name="Followed Hyperlink" xfId="3399" builtinId="9" hidden="1"/>
    <cellStyle name="Followed Hyperlink" xfId="3395" builtinId="9" hidden="1"/>
    <cellStyle name="Followed Hyperlink" xfId="3391" builtinId="9" hidden="1"/>
    <cellStyle name="Followed Hyperlink" xfId="3387" builtinId="9" hidden="1"/>
    <cellStyle name="Followed Hyperlink" xfId="3383" builtinId="9" hidden="1"/>
    <cellStyle name="Followed Hyperlink" xfId="3379" builtinId="9" hidden="1"/>
    <cellStyle name="Followed Hyperlink" xfId="3375" builtinId="9" hidden="1"/>
    <cellStyle name="Followed Hyperlink" xfId="3371" builtinId="9" hidden="1"/>
    <cellStyle name="Followed Hyperlink" xfId="3367" builtinId="9" hidden="1"/>
    <cellStyle name="Followed Hyperlink" xfId="3363" builtinId="9" hidden="1"/>
    <cellStyle name="Followed Hyperlink" xfId="3359" builtinId="9" hidden="1"/>
    <cellStyle name="Followed Hyperlink" xfId="3355" builtinId="9" hidden="1"/>
    <cellStyle name="Followed Hyperlink" xfId="3351" builtinId="9" hidden="1"/>
    <cellStyle name="Followed Hyperlink" xfId="3347" builtinId="9" hidden="1"/>
    <cellStyle name="Followed Hyperlink" xfId="3343" builtinId="9" hidden="1"/>
    <cellStyle name="Followed Hyperlink" xfId="3339" builtinId="9" hidden="1"/>
    <cellStyle name="Followed Hyperlink" xfId="3335" builtinId="9" hidden="1"/>
    <cellStyle name="Followed Hyperlink" xfId="3331" builtinId="9" hidden="1"/>
    <cellStyle name="Followed Hyperlink" xfId="3327" builtinId="9" hidden="1"/>
    <cellStyle name="Followed Hyperlink" xfId="3323" builtinId="9" hidden="1"/>
    <cellStyle name="Followed Hyperlink" xfId="3319" builtinId="9" hidden="1"/>
    <cellStyle name="Followed Hyperlink" xfId="3315" builtinId="9" hidden="1"/>
    <cellStyle name="Followed Hyperlink" xfId="3311" builtinId="9" hidden="1"/>
    <cellStyle name="Followed Hyperlink" xfId="3307" builtinId="9" hidden="1"/>
    <cellStyle name="Followed Hyperlink" xfId="3303" builtinId="9" hidden="1"/>
    <cellStyle name="Followed Hyperlink" xfId="3299" builtinId="9" hidden="1"/>
    <cellStyle name="Followed Hyperlink" xfId="3295" builtinId="9" hidden="1"/>
    <cellStyle name="Followed Hyperlink" xfId="3291" builtinId="9" hidden="1"/>
    <cellStyle name="Followed Hyperlink" xfId="3287" builtinId="9" hidden="1"/>
    <cellStyle name="Followed Hyperlink" xfId="3283" builtinId="9" hidden="1"/>
    <cellStyle name="Followed Hyperlink" xfId="3279" builtinId="9" hidden="1"/>
    <cellStyle name="Followed Hyperlink" xfId="3275" builtinId="9" hidden="1"/>
    <cellStyle name="Followed Hyperlink" xfId="3271" builtinId="9" hidden="1"/>
    <cellStyle name="Followed Hyperlink" xfId="3267" builtinId="9" hidden="1"/>
    <cellStyle name="Followed Hyperlink" xfId="3263" builtinId="9" hidden="1"/>
    <cellStyle name="Followed Hyperlink" xfId="3259" builtinId="9" hidden="1"/>
    <cellStyle name="Followed Hyperlink" xfId="3255" builtinId="9" hidden="1"/>
    <cellStyle name="Followed Hyperlink" xfId="3251" builtinId="9" hidden="1"/>
    <cellStyle name="Followed Hyperlink" xfId="3247" builtinId="9" hidden="1"/>
    <cellStyle name="Followed Hyperlink" xfId="3243" builtinId="9" hidden="1"/>
    <cellStyle name="Followed Hyperlink" xfId="3239" builtinId="9" hidden="1"/>
    <cellStyle name="Followed Hyperlink" xfId="3235" builtinId="9" hidden="1"/>
    <cellStyle name="Followed Hyperlink" xfId="3231" builtinId="9" hidden="1"/>
    <cellStyle name="Followed Hyperlink" xfId="3227" builtinId="9" hidden="1"/>
    <cellStyle name="Followed Hyperlink" xfId="3223" builtinId="9" hidden="1"/>
    <cellStyle name="Followed Hyperlink" xfId="3219" builtinId="9" hidden="1"/>
    <cellStyle name="Followed Hyperlink" xfId="3215" builtinId="9" hidden="1"/>
    <cellStyle name="Followed Hyperlink" xfId="3211" builtinId="9" hidden="1"/>
    <cellStyle name="Followed Hyperlink" xfId="3207" builtinId="9" hidden="1"/>
    <cellStyle name="Followed Hyperlink" xfId="3203" builtinId="9" hidden="1"/>
    <cellStyle name="Followed Hyperlink" xfId="3199" builtinId="9" hidden="1"/>
    <cellStyle name="Followed Hyperlink" xfId="3195" builtinId="9" hidden="1"/>
    <cellStyle name="Followed Hyperlink" xfId="3191" builtinId="9" hidden="1"/>
    <cellStyle name="Followed Hyperlink" xfId="3187" builtinId="9" hidden="1"/>
    <cellStyle name="Followed Hyperlink" xfId="3183" builtinId="9" hidden="1"/>
    <cellStyle name="Followed Hyperlink" xfId="3179" builtinId="9" hidden="1"/>
    <cellStyle name="Followed Hyperlink" xfId="3175" builtinId="9" hidden="1"/>
    <cellStyle name="Followed Hyperlink" xfId="3171" builtinId="9" hidden="1"/>
    <cellStyle name="Followed Hyperlink" xfId="3167" builtinId="9" hidden="1"/>
    <cellStyle name="Followed Hyperlink" xfId="3163" builtinId="9" hidden="1"/>
    <cellStyle name="Followed Hyperlink" xfId="3159" builtinId="9" hidden="1"/>
    <cellStyle name="Followed Hyperlink" xfId="3155" builtinId="9" hidden="1"/>
    <cellStyle name="Followed Hyperlink" xfId="3151" builtinId="9" hidden="1"/>
    <cellStyle name="Followed Hyperlink" xfId="3147" builtinId="9" hidden="1"/>
    <cellStyle name="Followed Hyperlink" xfId="3143" builtinId="9" hidden="1"/>
    <cellStyle name="Followed Hyperlink" xfId="3139" builtinId="9" hidden="1"/>
    <cellStyle name="Followed Hyperlink" xfId="3135" builtinId="9" hidden="1"/>
    <cellStyle name="Followed Hyperlink" xfId="3131" builtinId="9" hidden="1"/>
    <cellStyle name="Followed Hyperlink" xfId="3127" builtinId="9" hidden="1"/>
    <cellStyle name="Followed Hyperlink" xfId="3123" builtinId="9" hidden="1"/>
    <cellStyle name="Followed Hyperlink" xfId="3119" builtinId="9" hidden="1"/>
    <cellStyle name="Followed Hyperlink" xfId="3115" builtinId="9" hidden="1"/>
    <cellStyle name="Followed Hyperlink" xfId="3111" builtinId="9" hidden="1"/>
    <cellStyle name="Followed Hyperlink" xfId="3107" builtinId="9" hidden="1"/>
    <cellStyle name="Followed Hyperlink" xfId="3103" builtinId="9" hidden="1"/>
    <cellStyle name="Followed Hyperlink" xfId="3099" builtinId="9" hidden="1"/>
    <cellStyle name="Followed Hyperlink" xfId="3095" builtinId="9" hidden="1"/>
    <cellStyle name="Followed Hyperlink" xfId="3091" builtinId="9" hidden="1"/>
    <cellStyle name="Followed Hyperlink" xfId="3087" builtinId="9" hidden="1"/>
    <cellStyle name="Followed Hyperlink" xfId="3083" builtinId="9" hidden="1"/>
    <cellStyle name="Followed Hyperlink" xfId="3079" builtinId="9" hidden="1"/>
    <cellStyle name="Followed Hyperlink" xfId="3075" builtinId="9" hidden="1"/>
    <cellStyle name="Followed Hyperlink" xfId="3071" builtinId="9" hidden="1"/>
    <cellStyle name="Followed Hyperlink" xfId="3067" builtinId="9" hidden="1"/>
    <cellStyle name="Followed Hyperlink" xfId="3063" builtinId="9" hidden="1"/>
    <cellStyle name="Followed Hyperlink" xfId="3059" builtinId="9" hidden="1"/>
    <cellStyle name="Followed Hyperlink" xfId="3055" builtinId="9" hidden="1"/>
    <cellStyle name="Followed Hyperlink" xfId="3051" builtinId="9" hidden="1"/>
    <cellStyle name="Followed Hyperlink" xfId="3047" builtinId="9" hidden="1"/>
    <cellStyle name="Followed Hyperlink" xfId="3043" builtinId="9" hidden="1"/>
    <cellStyle name="Followed Hyperlink" xfId="3039" builtinId="9" hidden="1"/>
    <cellStyle name="Followed Hyperlink" xfId="3035" builtinId="9" hidden="1"/>
    <cellStyle name="Followed Hyperlink" xfId="3031" builtinId="9" hidden="1"/>
    <cellStyle name="Followed Hyperlink" xfId="3027" builtinId="9" hidden="1"/>
    <cellStyle name="Followed Hyperlink" xfId="3023" builtinId="9" hidden="1"/>
    <cellStyle name="Followed Hyperlink" xfId="3019" builtinId="9" hidden="1"/>
    <cellStyle name="Followed Hyperlink" xfId="3015" builtinId="9" hidden="1"/>
    <cellStyle name="Followed Hyperlink" xfId="3011" builtinId="9" hidden="1"/>
    <cellStyle name="Followed Hyperlink" xfId="3007" builtinId="9" hidden="1"/>
    <cellStyle name="Followed Hyperlink" xfId="3003" builtinId="9" hidden="1"/>
    <cellStyle name="Followed Hyperlink" xfId="2999" builtinId="9" hidden="1"/>
    <cellStyle name="Followed Hyperlink" xfId="2995" builtinId="9" hidden="1"/>
    <cellStyle name="Followed Hyperlink" xfId="2991" builtinId="9" hidden="1"/>
    <cellStyle name="Followed Hyperlink" xfId="2987" builtinId="9" hidden="1"/>
    <cellStyle name="Followed Hyperlink" xfId="2983" builtinId="9" hidden="1"/>
    <cellStyle name="Followed Hyperlink" xfId="2979" builtinId="9" hidden="1"/>
    <cellStyle name="Followed Hyperlink" xfId="2975" builtinId="9" hidden="1"/>
    <cellStyle name="Followed Hyperlink" xfId="2971" builtinId="9" hidden="1"/>
    <cellStyle name="Followed Hyperlink" xfId="2967" builtinId="9" hidden="1"/>
    <cellStyle name="Followed Hyperlink" xfId="2963" builtinId="9" hidden="1"/>
    <cellStyle name="Followed Hyperlink" xfId="2959" builtinId="9" hidden="1"/>
    <cellStyle name="Followed Hyperlink" xfId="2955" builtinId="9" hidden="1"/>
    <cellStyle name="Followed Hyperlink" xfId="2951" builtinId="9" hidden="1"/>
    <cellStyle name="Followed Hyperlink" xfId="2947" builtinId="9" hidden="1"/>
    <cellStyle name="Followed Hyperlink" xfId="2943" builtinId="9" hidden="1"/>
    <cellStyle name="Followed Hyperlink" xfId="2939" builtinId="9" hidden="1"/>
    <cellStyle name="Followed Hyperlink" xfId="2935" builtinId="9" hidden="1"/>
    <cellStyle name="Followed Hyperlink" xfId="2931" builtinId="9" hidden="1"/>
    <cellStyle name="Followed Hyperlink" xfId="2927" builtinId="9" hidden="1"/>
    <cellStyle name="Followed Hyperlink" xfId="2923" builtinId="9" hidden="1"/>
    <cellStyle name="Followed Hyperlink" xfId="2919" builtinId="9" hidden="1"/>
    <cellStyle name="Followed Hyperlink" xfId="2915" builtinId="9" hidden="1"/>
    <cellStyle name="Followed Hyperlink" xfId="2911" builtinId="9" hidden="1"/>
    <cellStyle name="Followed Hyperlink" xfId="2907" builtinId="9" hidden="1"/>
    <cellStyle name="Followed Hyperlink" xfId="2903" builtinId="9" hidden="1"/>
    <cellStyle name="Followed Hyperlink" xfId="2899" builtinId="9" hidden="1"/>
    <cellStyle name="Followed Hyperlink" xfId="2895" builtinId="9" hidden="1"/>
    <cellStyle name="Followed Hyperlink" xfId="2891" builtinId="9" hidden="1"/>
    <cellStyle name="Followed Hyperlink" xfId="2887" builtinId="9" hidden="1"/>
    <cellStyle name="Followed Hyperlink" xfId="2883" builtinId="9" hidden="1"/>
    <cellStyle name="Followed Hyperlink" xfId="2879" builtinId="9" hidden="1"/>
    <cellStyle name="Followed Hyperlink" xfId="2875" builtinId="9" hidden="1"/>
    <cellStyle name="Followed Hyperlink" xfId="2871" builtinId="9" hidden="1"/>
    <cellStyle name="Followed Hyperlink" xfId="2867" builtinId="9" hidden="1"/>
    <cellStyle name="Followed Hyperlink" xfId="2863" builtinId="9" hidden="1"/>
    <cellStyle name="Followed Hyperlink" xfId="2859" builtinId="9" hidden="1"/>
    <cellStyle name="Followed Hyperlink" xfId="2855" builtinId="9" hidden="1"/>
    <cellStyle name="Followed Hyperlink" xfId="2851" builtinId="9" hidden="1"/>
    <cellStyle name="Followed Hyperlink" xfId="2847" builtinId="9" hidden="1"/>
    <cellStyle name="Followed Hyperlink" xfId="2843" builtinId="9" hidden="1"/>
    <cellStyle name="Followed Hyperlink" xfId="2839" builtinId="9" hidden="1"/>
    <cellStyle name="Followed Hyperlink" xfId="2835" builtinId="9" hidden="1"/>
    <cellStyle name="Followed Hyperlink" xfId="2831" builtinId="9" hidden="1"/>
    <cellStyle name="Followed Hyperlink" xfId="2827" builtinId="9" hidden="1"/>
    <cellStyle name="Followed Hyperlink" xfId="2823" builtinId="9" hidden="1"/>
    <cellStyle name="Followed Hyperlink" xfId="2819" builtinId="9" hidden="1"/>
    <cellStyle name="Followed Hyperlink" xfId="2815" builtinId="9" hidden="1"/>
    <cellStyle name="Followed Hyperlink" xfId="2811" builtinId="9" hidden="1"/>
    <cellStyle name="Followed Hyperlink" xfId="2807" builtinId="9" hidden="1"/>
    <cellStyle name="Followed Hyperlink" xfId="2803" builtinId="9" hidden="1"/>
    <cellStyle name="Followed Hyperlink" xfId="2799" builtinId="9" hidden="1"/>
    <cellStyle name="Followed Hyperlink" xfId="2795" builtinId="9" hidden="1"/>
    <cellStyle name="Followed Hyperlink" xfId="2791" builtinId="9" hidden="1"/>
    <cellStyle name="Followed Hyperlink" xfId="2787" builtinId="9" hidden="1"/>
    <cellStyle name="Followed Hyperlink" xfId="2783" builtinId="9" hidden="1"/>
    <cellStyle name="Followed Hyperlink" xfId="2779" builtinId="9" hidden="1"/>
    <cellStyle name="Followed Hyperlink" xfId="2775" builtinId="9" hidden="1"/>
    <cellStyle name="Followed Hyperlink" xfId="2771" builtinId="9" hidden="1"/>
    <cellStyle name="Followed Hyperlink" xfId="2767" builtinId="9" hidden="1"/>
    <cellStyle name="Followed Hyperlink" xfId="2763" builtinId="9" hidden="1"/>
    <cellStyle name="Followed Hyperlink" xfId="2759" builtinId="9" hidden="1"/>
    <cellStyle name="Followed Hyperlink" xfId="2755" builtinId="9" hidden="1"/>
    <cellStyle name="Followed Hyperlink" xfId="2751" builtinId="9" hidden="1"/>
    <cellStyle name="Followed Hyperlink" xfId="2747" builtinId="9" hidden="1"/>
    <cellStyle name="Followed Hyperlink" xfId="2743" builtinId="9" hidden="1"/>
    <cellStyle name="Followed Hyperlink" xfId="2739" builtinId="9" hidden="1"/>
    <cellStyle name="Followed Hyperlink" xfId="2735" builtinId="9" hidden="1"/>
    <cellStyle name="Followed Hyperlink" xfId="2731" builtinId="9" hidden="1"/>
    <cellStyle name="Followed Hyperlink" xfId="2727" builtinId="9" hidden="1"/>
    <cellStyle name="Followed Hyperlink" xfId="2723" builtinId="9" hidden="1"/>
    <cellStyle name="Followed Hyperlink" xfId="2719" builtinId="9" hidden="1"/>
    <cellStyle name="Followed Hyperlink" xfId="2715" builtinId="9" hidden="1"/>
    <cellStyle name="Followed Hyperlink" xfId="2711" builtinId="9" hidden="1"/>
    <cellStyle name="Followed Hyperlink" xfId="2707" builtinId="9" hidden="1"/>
    <cellStyle name="Followed Hyperlink" xfId="2703" builtinId="9" hidden="1"/>
    <cellStyle name="Followed Hyperlink" xfId="2699" builtinId="9" hidden="1"/>
    <cellStyle name="Followed Hyperlink" xfId="2695" builtinId="9" hidden="1"/>
    <cellStyle name="Followed Hyperlink" xfId="2691" builtinId="9" hidden="1"/>
    <cellStyle name="Followed Hyperlink" xfId="2687" builtinId="9" hidden="1"/>
    <cellStyle name="Followed Hyperlink" xfId="2683" builtinId="9" hidden="1"/>
    <cellStyle name="Followed Hyperlink" xfId="2679" builtinId="9" hidden="1"/>
    <cellStyle name="Followed Hyperlink" xfId="2675" builtinId="9" hidden="1"/>
    <cellStyle name="Followed Hyperlink" xfId="2671" builtinId="9" hidden="1"/>
    <cellStyle name="Followed Hyperlink" xfId="2667" builtinId="9" hidden="1"/>
    <cellStyle name="Followed Hyperlink" xfId="2663" builtinId="9" hidden="1"/>
    <cellStyle name="Followed Hyperlink" xfId="2659" builtinId="9" hidden="1"/>
    <cellStyle name="Followed Hyperlink" xfId="2655" builtinId="9" hidden="1"/>
    <cellStyle name="Followed Hyperlink" xfId="2651" builtinId="9" hidden="1"/>
    <cellStyle name="Followed Hyperlink" xfId="2647" builtinId="9" hidden="1"/>
    <cellStyle name="Followed Hyperlink" xfId="2643" builtinId="9" hidden="1"/>
    <cellStyle name="Followed Hyperlink" xfId="2639" builtinId="9" hidden="1"/>
    <cellStyle name="Followed Hyperlink" xfId="2635" builtinId="9" hidden="1"/>
    <cellStyle name="Followed Hyperlink" xfId="2631" builtinId="9" hidden="1"/>
    <cellStyle name="Followed Hyperlink" xfId="2627" builtinId="9" hidden="1"/>
    <cellStyle name="Followed Hyperlink" xfId="2623" builtinId="9" hidden="1"/>
    <cellStyle name="Followed Hyperlink" xfId="2619" builtinId="9" hidden="1"/>
    <cellStyle name="Followed Hyperlink" xfId="2615" builtinId="9" hidden="1"/>
    <cellStyle name="Followed Hyperlink" xfId="2611" builtinId="9" hidden="1"/>
    <cellStyle name="Followed Hyperlink" xfId="2607" builtinId="9" hidden="1"/>
    <cellStyle name="Followed Hyperlink" xfId="2603" builtinId="9" hidden="1"/>
    <cellStyle name="Followed Hyperlink" xfId="2599" builtinId="9" hidden="1"/>
    <cellStyle name="Followed Hyperlink" xfId="2595" builtinId="9" hidden="1"/>
    <cellStyle name="Followed Hyperlink" xfId="2591" builtinId="9" hidden="1"/>
    <cellStyle name="Followed Hyperlink" xfId="2587" builtinId="9" hidden="1"/>
    <cellStyle name="Followed Hyperlink" xfId="2583" builtinId="9" hidden="1"/>
    <cellStyle name="Followed Hyperlink" xfId="2579" builtinId="9" hidden="1"/>
    <cellStyle name="Followed Hyperlink" xfId="2575" builtinId="9" hidden="1"/>
    <cellStyle name="Followed Hyperlink" xfId="2571" builtinId="9" hidden="1"/>
    <cellStyle name="Followed Hyperlink" xfId="2567" builtinId="9" hidden="1"/>
    <cellStyle name="Followed Hyperlink" xfId="2563" builtinId="9" hidden="1"/>
    <cellStyle name="Followed Hyperlink" xfId="2559" builtinId="9" hidden="1"/>
    <cellStyle name="Followed Hyperlink" xfId="2555" builtinId="9" hidden="1"/>
    <cellStyle name="Followed Hyperlink" xfId="2551" builtinId="9" hidden="1"/>
    <cellStyle name="Followed Hyperlink" xfId="2547" builtinId="9" hidden="1"/>
    <cellStyle name="Followed Hyperlink" xfId="2543" builtinId="9" hidden="1"/>
    <cellStyle name="Followed Hyperlink" xfId="2539" builtinId="9" hidden="1"/>
    <cellStyle name="Followed Hyperlink" xfId="2535" builtinId="9" hidden="1"/>
    <cellStyle name="Followed Hyperlink" xfId="2531" builtinId="9" hidden="1"/>
    <cellStyle name="Followed Hyperlink" xfId="2527" builtinId="9" hidden="1"/>
    <cellStyle name="Followed Hyperlink" xfId="2523" builtinId="9" hidden="1"/>
    <cellStyle name="Followed Hyperlink" xfId="2519" builtinId="9" hidden="1"/>
    <cellStyle name="Followed Hyperlink" xfId="2515" builtinId="9" hidden="1"/>
    <cellStyle name="Followed Hyperlink" xfId="2511" builtinId="9" hidden="1"/>
    <cellStyle name="Followed Hyperlink" xfId="2507" builtinId="9" hidden="1"/>
    <cellStyle name="Followed Hyperlink" xfId="2503" builtinId="9" hidden="1"/>
    <cellStyle name="Followed Hyperlink" xfId="2499" builtinId="9" hidden="1"/>
    <cellStyle name="Followed Hyperlink" xfId="2495" builtinId="9" hidden="1"/>
    <cellStyle name="Followed Hyperlink" xfId="2491" builtinId="9" hidden="1"/>
    <cellStyle name="Followed Hyperlink" xfId="2487" builtinId="9" hidden="1"/>
    <cellStyle name="Followed Hyperlink" xfId="2483" builtinId="9" hidden="1"/>
    <cellStyle name="Followed Hyperlink" xfId="2479" builtinId="9" hidden="1"/>
    <cellStyle name="Followed Hyperlink" xfId="2475" builtinId="9" hidden="1"/>
    <cellStyle name="Followed Hyperlink" xfId="2471" builtinId="9" hidden="1"/>
    <cellStyle name="Followed Hyperlink" xfId="2467" builtinId="9" hidden="1"/>
    <cellStyle name="Followed Hyperlink" xfId="2463" builtinId="9" hidden="1"/>
    <cellStyle name="Followed Hyperlink" xfId="2459" builtinId="9" hidden="1"/>
    <cellStyle name="Followed Hyperlink" xfId="2455" builtinId="9" hidden="1"/>
    <cellStyle name="Followed Hyperlink" xfId="2451" builtinId="9" hidden="1"/>
    <cellStyle name="Followed Hyperlink" xfId="2447" builtinId="9" hidden="1"/>
    <cellStyle name="Followed Hyperlink" xfId="2443" builtinId="9" hidden="1"/>
    <cellStyle name="Followed Hyperlink" xfId="2439" builtinId="9" hidden="1"/>
    <cellStyle name="Followed Hyperlink" xfId="2435" builtinId="9" hidden="1"/>
    <cellStyle name="Followed Hyperlink" xfId="2431" builtinId="9" hidden="1"/>
    <cellStyle name="Followed Hyperlink" xfId="2427" builtinId="9" hidden="1"/>
    <cellStyle name="Followed Hyperlink" xfId="2423" builtinId="9" hidden="1"/>
    <cellStyle name="Followed Hyperlink" xfId="2419" builtinId="9" hidden="1"/>
    <cellStyle name="Followed Hyperlink" xfId="2415" builtinId="9" hidden="1"/>
    <cellStyle name="Followed Hyperlink" xfId="2411" builtinId="9" hidden="1"/>
    <cellStyle name="Followed Hyperlink" xfId="2407" builtinId="9" hidden="1"/>
    <cellStyle name="Followed Hyperlink" xfId="2403" builtinId="9" hidden="1"/>
    <cellStyle name="Followed Hyperlink" xfId="2399" builtinId="9" hidden="1"/>
    <cellStyle name="Followed Hyperlink" xfId="2395" builtinId="9" hidden="1"/>
    <cellStyle name="Followed Hyperlink" xfId="2391" builtinId="9" hidden="1"/>
    <cellStyle name="Followed Hyperlink" xfId="2387" builtinId="9" hidden="1"/>
    <cellStyle name="Followed Hyperlink" xfId="2383" builtinId="9" hidden="1"/>
    <cellStyle name="Followed Hyperlink" xfId="2379" builtinId="9" hidden="1"/>
    <cellStyle name="Followed Hyperlink" xfId="2375" builtinId="9" hidden="1"/>
    <cellStyle name="Followed Hyperlink" xfId="2371" builtinId="9" hidden="1"/>
    <cellStyle name="Followed Hyperlink" xfId="2367" builtinId="9" hidden="1"/>
    <cellStyle name="Followed Hyperlink" xfId="2363" builtinId="9" hidden="1"/>
    <cellStyle name="Followed Hyperlink" xfId="2359" builtinId="9" hidden="1"/>
    <cellStyle name="Followed Hyperlink" xfId="2355" builtinId="9" hidden="1"/>
    <cellStyle name="Followed Hyperlink" xfId="2351" builtinId="9" hidden="1"/>
    <cellStyle name="Followed Hyperlink" xfId="2347" builtinId="9" hidden="1"/>
    <cellStyle name="Followed Hyperlink" xfId="2343" builtinId="9" hidden="1"/>
    <cellStyle name="Followed Hyperlink" xfId="2339" builtinId="9" hidden="1"/>
    <cellStyle name="Followed Hyperlink" xfId="2335" builtinId="9" hidden="1"/>
    <cellStyle name="Followed Hyperlink" xfId="2331" builtinId="9" hidden="1"/>
    <cellStyle name="Followed Hyperlink" xfId="2327" builtinId="9" hidden="1"/>
    <cellStyle name="Followed Hyperlink" xfId="2323" builtinId="9" hidden="1"/>
    <cellStyle name="Followed Hyperlink" xfId="2319" builtinId="9" hidden="1"/>
    <cellStyle name="Followed Hyperlink" xfId="2315" builtinId="9" hidden="1"/>
    <cellStyle name="Followed Hyperlink" xfId="2311" builtinId="9" hidden="1"/>
    <cellStyle name="Followed Hyperlink" xfId="2307" builtinId="9" hidden="1"/>
    <cellStyle name="Followed Hyperlink" xfId="2303" builtinId="9" hidden="1"/>
    <cellStyle name="Followed Hyperlink" xfId="2299" builtinId="9" hidden="1"/>
    <cellStyle name="Followed Hyperlink" xfId="2295" builtinId="9" hidden="1"/>
    <cellStyle name="Followed Hyperlink" xfId="2291" builtinId="9" hidden="1"/>
    <cellStyle name="Followed Hyperlink" xfId="2287" builtinId="9" hidden="1"/>
    <cellStyle name="Followed Hyperlink" xfId="2283" builtinId="9" hidden="1"/>
    <cellStyle name="Followed Hyperlink" xfId="2279" builtinId="9" hidden="1"/>
    <cellStyle name="Followed Hyperlink" xfId="2275" builtinId="9" hidden="1"/>
    <cellStyle name="Followed Hyperlink" xfId="2271" builtinId="9" hidden="1"/>
    <cellStyle name="Followed Hyperlink" xfId="2267" builtinId="9" hidden="1"/>
    <cellStyle name="Followed Hyperlink" xfId="2263" builtinId="9" hidden="1"/>
    <cellStyle name="Followed Hyperlink" xfId="2259" builtinId="9" hidden="1"/>
    <cellStyle name="Followed Hyperlink" xfId="2255" builtinId="9" hidden="1"/>
    <cellStyle name="Followed Hyperlink" xfId="2251" builtinId="9" hidden="1"/>
    <cellStyle name="Followed Hyperlink" xfId="2247" builtinId="9" hidden="1"/>
    <cellStyle name="Followed Hyperlink" xfId="2243" builtinId="9" hidden="1"/>
    <cellStyle name="Followed Hyperlink" xfId="2239" builtinId="9" hidden="1"/>
    <cellStyle name="Followed Hyperlink" xfId="2235" builtinId="9" hidden="1"/>
    <cellStyle name="Followed Hyperlink" xfId="2231" builtinId="9" hidden="1"/>
    <cellStyle name="Followed Hyperlink" xfId="2227" builtinId="9" hidden="1"/>
    <cellStyle name="Followed Hyperlink" xfId="2223" builtinId="9" hidden="1"/>
    <cellStyle name="Followed Hyperlink" xfId="2219" builtinId="9" hidden="1"/>
    <cellStyle name="Followed Hyperlink" xfId="2215" builtinId="9" hidden="1"/>
    <cellStyle name="Followed Hyperlink" xfId="2211" builtinId="9" hidden="1"/>
    <cellStyle name="Followed Hyperlink" xfId="2207" builtinId="9" hidden="1"/>
    <cellStyle name="Followed Hyperlink" xfId="2203" builtinId="9" hidden="1"/>
    <cellStyle name="Followed Hyperlink" xfId="2199" builtinId="9" hidden="1"/>
    <cellStyle name="Followed Hyperlink" xfId="2195" builtinId="9" hidden="1"/>
    <cellStyle name="Followed Hyperlink" xfId="2191" builtinId="9" hidden="1"/>
    <cellStyle name="Followed Hyperlink" xfId="2187" builtinId="9" hidden="1"/>
    <cellStyle name="Followed Hyperlink" xfId="2183" builtinId="9" hidden="1"/>
    <cellStyle name="Followed Hyperlink" xfId="2179" builtinId="9" hidden="1"/>
    <cellStyle name="Followed Hyperlink" xfId="2175" builtinId="9" hidden="1"/>
    <cellStyle name="Followed Hyperlink" xfId="2171" builtinId="9" hidden="1"/>
    <cellStyle name="Followed Hyperlink" xfId="2167" builtinId="9" hidden="1"/>
    <cellStyle name="Followed Hyperlink" xfId="2163" builtinId="9" hidden="1"/>
    <cellStyle name="Followed Hyperlink" xfId="2159" builtinId="9" hidden="1"/>
    <cellStyle name="Followed Hyperlink" xfId="2155" builtinId="9" hidden="1"/>
    <cellStyle name="Followed Hyperlink" xfId="2151" builtinId="9" hidden="1"/>
    <cellStyle name="Followed Hyperlink" xfId="2147" builtinId="9" hidden="1"/>
    <cellStyle name="Followed Hyperlink" xfId="2143" builtinId="9" hidden="1"/>
    <cellStyle name="Followed Hyperlink" xfId="2139" builtinId="9" hidden="1"/>
    <cellStyle name="Followed Hyperlink" xfId="2135" builtinId="9" hidden="1"/>
    <cellStyle name="Followed Hyperlink" xfId="2131" builtinId="9" hidden="1"/>
    <cellStyle name="Followed Hyperlink" xfId="2127" builtinId="9" hidden="1"/>
    <cellStyle name="Followed Hyperlink" xfId="2123" builtinId="9" hidden="1"/>
    <cellStyle name="Followed Hyperlink" xfId="2119" builtinId="9" hidden="1"/>
    <cellStyle name="Followed Hyperlink" xfId="2115" builtinId="9" hidden="1"/>
    <cellStyle name="Followed Hyperlink" xfId="2111" builtinId="9" hidden="1"/>
    <cellStyle name="Followed Hyperlink" xfId="2107" builtinId="9" hidden="1"/>
    <cellStyle name="Followed Hyperlink" xfId="2103" builtinId="9" hidden="1"/>
    <cellStyle name="Followed Hyperlink" xfId="2099" builtinId="9" hidden="1"/>
    <cellStyle name="Followed Hyperlink" xfId="2095" builtinId="9" hidden="1"/>
    <cellStyle name="Followed Hyperlink" xfId="2091" builtinId="9" hidden="1"/>
    <cellStyle name="Followed Hyperlink" xfId="2087" builtinId="9" hidden="1"/>
    <cellStyle name="Followed Hyperlink" xfId="2083" builtinId="9" hidden="1"/>
    <cellStyle name="Followed Hyperlink" xfId="2079" builtinId="9" hidden="1"/>
    <cellStyle name="Followed Hyperlink" xfId="2075" builtinId="9" hidden="1"/>
    <cellStyle name="Followed Hyperlink" xfId="2071" builtinId="9" hidden="1"/>
    <cellStyle name="Followed Hyperlink" xfId="2067" builtinId="9" hidden="1"/>
    <cellStyle name="Followed Hyperlink" xfId="2063" builtinId="9" hidden="1"/>
    <cellStyle name="Followed Hyperlink" xfId="2059" builtinId="9" hidden="1"/>
    <cellStyle name="Followed Hyperlink" xfId="2055" builtinId="9" hidden="1"/>
    <cellStyle name="Followed Hyperlink" xfId="2051" builtinId="9" hidden="1"/>
    <cellStyle name="Followed Hyperlink" xfId="2047" builtinId="9" hidden="1"/>
    <cellStyle name="Followed Hyperlink" xfId="2043" builtinId="9" hidden="1"/>
    <cellStyle name="Followed Hyperlink" xfId="2039" builtinId="9" hidden="1"/>
    <cellStyle name="Followed Hyperlink" xfId="2035" builtinId="9" hidden="1"/>
    <cellStyle name="Followed Hyperlink" xfId="2031" builtinId="9" hidden="1"/>
    <cellStyle name="Followed Hyperlink" xfId="2027" builtinId="9" hidden="1"/>
    <cellStyle name="Followed Hyperlink" xfId="2023" builtinId="9" hidden="1"/>
    <cellStyle name="Followed Hyperlink" xfId="2019" builtinId="9" hidden="1"/>
    <cellStyle name="Followed Hyperlink" xfId="2015" builtinId="9" hidden="1"/>
    <cellStyle name="Followed Hyperlink" xfId="2011" builtinId="9" hidden="1"/>
    <cellStyle name="Followed Hyperlink" xfId="2007" builtinId="9" hidden="1"/>
    <cellStyle name="Followed Hyperlink" xfId="2003" builtinId="9" hidden="1"/>
    <cellStyle name="Followed Hyperlink" xfId="1999" builtinId="9" hidden="1"/>
    <cellStyle name="Followed Hyperlink" xfId="1995" builtinId="9" hidden="1"/>
    <cellStyle name="Followed Hyperlink" xfId="1991" builtinId="9" hidden="1"/>
    <cellStyle name="Followed Hyperlink" xfId="1987" builtinId="9" hidden="1"/>
    <cellStyle name="Followed Hyperlink" xfId="1983" builtinId="9" hidden="1"/>
    <cellStyle name="Followed Hyperlink" xfId="1979" builtinId="9" hidden="1"/>
    <cellStyle name="Followed Hyperlink" xfId="1975" builtinId="9" hidden="1"/>
    <cellStyle name="Followed Hyperlink" xfId="1971" builtinId="9" hidden="1"/>
    <cellStyle name="Followed Hyperlink" xfId="1967" builtinId="9" hidden="1"/>
    <cellStyle name="Followed Hyperlink" xfId="1963" builtinId="9" hidden="1"/>
    <cellStyle name="Followed Hyperlink" xfId="1959" builtinId="9" hidden="1"/>
    <cellStyle name="Followed Hyperlink" xfId="1955" builtinId="9" hidden="1"/>
    <cellStyle name="Followed Hyperlink" xfId="1951" builtinId="9" hidden="1"/>
    <cellStyle name="Followed Hyperlink" xfId="1947" builtinId="9" hidden="1"/>
    <cellStyle name="Followed Hyperlink" xfId="1943" builtinId="9" hidden="1"/>
    <cellStyle name="Followed Hyperlink" xfId="1939" builtinId="9" hidden="1"/>
    <cellStyle name="Followed Hyperlink" xfId="1935" builtinId="9" hidden="1"/>
    <cellStyle name="Followed Hyperlink" xfId="1931" builtinId="9" hidden="1"/>
    <cellStyle name="Followed Hyperlink" xfId="1927" builtinId="9" hidden="1"/>
    <cellStyle name="Followed Hyperlink" xfId="1923" builtinId="9" hidden="1"/>
    <cellStyle name="Followed Hyperlink" xfId="1919" builtinId="9" hidden="1"/>
    <cellStyle name="Followed Hyperlink" xfId="1915" builtinId="9" hidden="1"/>
    <cellStyle name="Followed Hyperlink" xfId="1911" builtinId="9" hidden="1"/>
    <cellStyle name="Followed Hyperlink" xfId="1907" builtinId="9" hidden="1"/>
    <cellStyle name="Followed Hyperlink" xfId="1903" builtinId="9" hidden="1"/>
    <cellStyle name="Followed Hyperlink" xfId="1899" builtinId="9" hidden="1"/>
    <cellStyle name="Followed Hyperlink" xfId="1895" builtinId="9" hidden="1"/>
    <cellStyle name="Followed Hyperlink" xfId="1891" builtinId="9" hidden="1"/>
    <cellStyle name="Followed Hyperlink" xfId="1887" builtinId="9" hidden="1"/>
    <cellStyle name="Followed Hyperlink" xfId="1883" builtinId="9" hidden="1"/>
    <cellStyle name="Followed Hyperlink" xfId="1879" builtinId="9" hidden="1"/>
    <cellStyle name="Followed Hyperlink" xfId="1875" builtinId="9" hidden="1"/>
    <cellStyle name="Followed Hyperlink" xfId="1871" builtinId="9" hidden="1"/>
    <cellStyle name="Followed Hyperlink" xfId="1867" builtinId="9" hidden="1"/>
    <cellStyle name="Followed Hyperlink" xfId="1863" builtinId="9" hidden="1"/>
    <cellStyle name="Followed Hyperlink" xfId="1859" builtinId="9" hidden="1"/>
    <cellStyle name="Followed Hyperlink" xfId="1855" builtinId="9" hidden="1"/>
    <cellStyle name="Followed Hyperlink" xfId="1851" builtinId="9" hidden="1"/>
    <cellStyle name="Followed Hyperlink" xfId="1847" builtinId="9" hidden="1"/>
    <cellStyle name="Followed Hyperlink" xfId="1843" builtinId="9" hidden="1"/>
    <cellStyle name="Followed Hyperlink" xfId="1839" builtinId="9" hidden="1"/>
    <cellStyle name="Followed Hyperlink" xfId="1835" builtinId="9" hidden="1"/>
    <cellStyle name="Followed Hyperlink" xfId="1831" builtinId="9" hidden="1"/>
    <cellStyle name="Followed Hyperlink" xfId="1827" builtinId="9" hidden="1"/>
    <cellStyle name="Followed Hyperlink" xfId="1823" builtinId="9" hidden="1"/>
    <cellStyle name="Followed Hyperlink" xfId="1819" builtinId="9" hidden="1"/>
    <cellStyle name="Followed Hyperlink" xfId="1815" builtinId="9" hidden="1"/>
    <cellStyle name="Followed Hyperlink" xfId="1811" builtinId="9" hidden="1"/>
    <cellStyle name="Followed Hyperlink" xfId="1807" builtinId="9" hidden="1"/>
    <cellStyle name="Followed Hyperlink" xfId="1803" builtinId="9" hidden="1"/>
    <cellStyle name="Followed Hyperlink" xfId="1799" builtinId="9" hidden="1"/>
    <cellStyle name="Followed Hyperlink" xfId="1795" builtinId="9" hidden="1"/>
    <cellStyle name="Followed Hyperlink" xfId="1791" builtinId="9" hidden="1"/>
    <cellStyle name="Followed Hyperlink" xfId="1787" builtinId="9" hidden="1"/>
    <cellStyle name="Followed Hyperlink" xfId="1783" builtinId="9" hidden="1"/>
    <cellStyle name="Followed Hyperlink" xfId="1779" builtinId="9" hidden="1"/>
    <cellStyle name="Followed Hyperlink" xfId="1775" builtinId="9" hidden="1"/>
    <cellStyle name="Followed Hyperlink" xfId="1771" builtinId="9" hidden="1"/>
    <cellStyle name="Followed Hyperlink" xfId="1767" builtinId="9" hidden="1"/>
    <cellStyle name="Followed Hyperlink" xfId="1763" builtinId="9" hidden="1"/>
    <cellStyle name="Followed Hyperlink" xfId="1759" builtinId="9" hidden="1"/>
    <cellStyle name="Followed Hyperlink" xfId="1755" builtinId="9" hidden="1"/>
    <cellStyle name="Followed Hyperlink" xfId="1751" builtinId="9" hidden="1"/>
    <cellStyle name="Followed Hyperlink" xfId="1747" builtinId="9" hidden="1"/>
    <cellStyle name="Followed Hyperlink" xfId="1743" builtinId="9" hidden="1"/>
    <cellStyle name="Followed Hyperlink" xfId="1739" builtinId="9" hidden="1"/>
    <cellStyle name="Followed Hyperlink" xfId="1735" builtinId="9" hidden="1"/>
    <cellStyle name="Followed Hyperlink" xfId="1731" builtinId="9" hidden="1"/>
    <cellStyle name="Followed Hyperlink" xfId="1727" builtinId="9" hidden="1"/>
    <cellStyle name="Followed Hyperlink" xfId="1723" builtinId="9" hidden="1"/>
    <cellStyle name="Followed Hyperlink" xfId="1719" builtinId="9" hidden="1"/>
    <cellStyle name="Followed Hyperlink" xfId="1715" builtinId="9" hidden="1"/>
    <cellStyle name="Followed Hyperlink" xfId="1711" builtinId="9" hidden="1"/>
    <cellStyle name="Followed Hyperlink" xfId="1707" builtinId="9" hidden="1"/>
    <cellStyle name="Followed Hyperlink" xfId="1703" builtinId="9" hidden="1"/>
    <cellStyle name="Followed Hyperlink" xfId="1699" builtinId="9" hidden="1"/>
    <cellStyle name="Followed Hyperlink" xfId="1695" builtinId="9" hidden="1"/>
    <cellStyle name="Followed Hyperlink" xfId="1691" builtinId="9" hidden="1"/>
    <cellStyle name="Followed Hyperlink" xfId="1687" builtinId="9" hidden="1"/>
    <cellStyle name="Followed Hyperlink" xfId="1683" builtinId="9" hidden="1"/>
    <cellStyle name="Followed Hyperlink" xfId="1679" builtinId="9" hidden="1"/>
    <cellStyle name="Followed Hyperlink" xfId="1675" builtinId="9" hidden="1"/>
    <cellStyle name="Followed Hyperlink" xfId="1671" builtinId="9" hidden="1"/>
    <cellStyle name="Followed Hyperlink" xfId="1667" builtinId="9" hidden="1"/>
    <cellStyle name="Followed Hyperlink" xfId="1663" builtinId="9" hidden="1"/>
    <cellStyle name="Followed Hyperlink" xfId="1659" builtinId="9" hidden="1"/>
    <cellStyle name="Followed Hyperlink" xfId="1655" builtinId="9" hidden="1"/>
    <cellStyle name="Followed Hyperlink" xfId="1651" builtinId="9" hidden="1"/>
    <cellStyle name="Followed Hyperlink" xfId="1647" builtinId="9" hidden="1"/>
    <cellStyle name="Followed Hyperlink" xfId="1643" builtinId="9" hidden="1"/>
    <cellStyle name="Followed Hyperlink" xfId="1639" builtinId="9" hidden="1"/>
    <cellStyle name="Followed Hyperlink" xfId="1635" builtinId="9" hidden="1"/>
    <cellStyle name="Followed Hyperlink" xfId="1631" builtinId="9" hidden="1"/>
    <cellStyle name="Followed Hyperlink" xfId="1627" builtinId="9" hidden="1"/>
    <cellStyle name="Followed Hyperlink" xfId="1623" builtinId="9" hidden="1"/>
    <cellStyle name="Followed Hyperlink" xfId="1619" builtinId="9" hidden="1"/>
    <cellStyle name="Followed Hyperlink" xfId="1615" builtinId="9" hidden="1"/>
    <cellStyle name="Followed Hyperlink" xfId="1611" builtinId="9" hidden="1"/>
    <cellStyle name="Followed Hyperlink" xfId="1607" builtinId="9" hidden="1"/>
    <cellStyle name="Followed Hyperlink" xfId="1603" builtinId="9" hidden="1"/>
    <cellStyle name="Followed Hyperlink" xfId="1599" builtinId="9" hidden="1"/>
    <cellStyle name="Followed Hyperlink" xfId="1595" builtinId="9" hidden="1"/>
    <cellStyle name="Followed Hyperlink" xfId="1591" builtinId="9" hidden="1"/>
    <cellStyle name="Followed Hyperlink" xfId="1587" builtinId="9" hidden="1"/>
    <cellStyle name="Followed Hyperlink" xfId="1583" builtinId="9" hidden="1"/>
    <cellStyle name="Followed Hyperlink" xfId="1579" builtinId="9" hidden="1"/>
    <cellStyle name="Followed Hyperlink" xfId="1575" builtinId="9" hidden="1"/>
    <cellStyle name="Followed Hyperlink" xfId="1571" builtinId="9" hidden="1"/>
    <cellStyle name="Followed Hyperlink" xfId="1567" builtinId="9" hidden="1"/>
    <cellStyle name="Followed Hyperlink" xfId="1563" builtinId="9" hidden="1"/>
    <cellStyle name="Followed Hyperlink" xfId="1559" builtinId="9" hidden="1"/>
    <cellStyle name="Followed Hyperlink" xfId="1555" builtinId="9" hidden="1"/>
    <cellStyle name="Followed Hyperlink" xfId="1551" builtinId="9" hidden="1"/>
    <cellStyle name="Followed Hyperlink" xfId="1547" builtinId="9" hidden="1"/>
    <cellStyle name="Followed Hyperlink" xfId="1543" builtinId="9" hidden="1"/>
    <cellStyle name="Followed Hyperlink" xfId="1539" builtinId="9" hidden="1"/>
    <cellStyle name="Followed Hyperlink" xfId="1535" builtinId="9" hidden="1"/>
    <cellStyle name="Followed Hyperlink" xfId="1531" builtinId="9" hidden="1"/>
    <cellStyle name="Followed Hyperlink" xfId="1527" builtinId="9" hidden="1"/>
    <cellStyle name="Followed Hyperlink" xfId="1523" builtinId="9" hidden="1"/>
    <cellStyle name="Followed Hyperlink" xfId="1519" builtinId="9" hidden="1"/>
    <cellStyle name="Followed Hyperlink" xfId="1515" builtinId="9" hidden="1"/>
    <cellStyle name="Followed Hyperlink" xfId="1511" builtinId="9" hidden="1"/>
    <cellStyle name="Followed Hyperlink" xfId="1507" builtinId="9" hidden="1"/>
    <cellStyle name="Followed Hyperlink" xfId="1503" builtinId="9" hidden="1"/>
    <cellStyle name="Followed Hyperlink" xfId="1499" builtinId="9" hidden="1"/>
    <cellStyle name="Followed Hyperlink" xfId="1495" builtinId="9" hidden="1"/>
    <cellStyle name="Followed Hyperlink" xfId="1491" builtinId="9" hidden="1"/>
    <cellStyle name="Followed Hyperlink" xfId="1487" builtinId="9" hidden="1"/>
    <cellStyle name="Followed Hyperlink" xfId="1483" builtinId="9" hidden="1"/>
    <cellStyle name="Followed Hyperlink" xfId="1479" builtinId="9" hidden="1"/>
    <cellStyle name="Followed Hyperlink" xfId="1475" builtinId="9" hidden="1"/>
    <cellStyle name="Followed Hyperlink" xfId="1471" builtinId="9" hidden="1"/>
    <cellStyle name="Followed Hyperlink" xfId="1467" builtinId="9" hidden="1"/>
    <cellStyle name="Followed Hyperlink" xfId="1463" builtinId="9" hidden="1"/>
    <cellStyle name="Followed Hyperlink" xfId="1459" builtinId="9" hidden="1"/>
    <cellStyle name="Followed Hyperlink" xfId="1455" builtinId="9" hidden="1"/>
    <cellStyle name="Followed Hyperlink" xfId="1451" builtinId="9" hidden="1"/>
    <cellStyle name="Followed Hyperlink" xfId="1447" builtinId="9" hidden="1"/>
    <cellStyle name="Followed Hyperlink" xfId="1443" builtinId="9" hidden="1"/>
    <cellStyle name="Followed Hyperlink" xfId="1439" builtinId="9" hidden="1"/>
    <cellStyle name="Followed Hyperlink" xfId="1435" builtinId="9" hidden="1"/>
    <cellStyle name="Followed Hyperlink" xfId="1431" builtinId="9" hidden="1"/>
    <cellStyle name="Followed Hyperlink" xfId="1427" builtinId="9" hidden="1"/>
    <cellStyle name="Followed Hyperlink" xfId="1423" builtinId="9" hidden="1"/>
    <cellStyle name="Followed Hyperlink" xfId="1419" builtinId="9" hidden="1"/>
    <cellStyle name="Followed Hyperlink" xfId="1415" builtinId="9" hidden="1"/>
    <cellStyle name="Followed Hyperlink" xfId="1411" builtinId="9" hidden="1"/>
    <cellStyle name="Followed Hyperlink" xfId="1407" builtinId="9" hidden="1"/>
    <cellStyle name="Followed Hyperlink" xfId="1403" builtinId="9" hidden="1"/>
    <cellStyle name="Followed Hyperlink" xfId="1399" builtinId="9" hidden="1"/>
    <cellStyle name="Followed Hyperlink" xfId="1395" builtinId="9" hidden="1"/>
    <cellStyle name="Followed Hyperlink" xfId="1391" builtinId="9" hidden="1"/>
    <cellStyle name="Followed Hyperlink" xfId="1387" builtinId="9" hidden="1"/>
    <cellStyle name="Followed Hyperlink" xfId="1383" builtinId="9" hidden="1"/>
    <cellStyle name="Followed Hyperlink" xfId="1379" builtinId="9" hidden="1"/>
    <cellStyle name="Followed Hyperlink" xfId="1375" builtinId="9" hidden="1"/>
    <cellStyle name="Followed Hyperlink" xfId="1371" builtinId="9" hidden="1"/>
    <cellStyle name="Followed Hyperlink" xfId="1367" builtinId="9" hidden="1"/>
    <cellStyle name="Followed Hyperlink" xfId="1363" builtinId="9" hidden="1"/>
    <cellStyle name="Followed Hyperlink" xfId="1359" builtinId="9" hidden="1"/>
    <cellStyle name="Followed Hyperlink" xfId="1355" builtinId="9" hidden="1"/>
    <cellStyle name="Followed Hyperlink" xfId="1351" builtinId="9" hidden="1"/>
    <cellStyle name="Followed Hyperlink" xfId="1347" builtinId="9" hidden="1"/>
    <cellStyle name="Followed Hyperlink" xfId="1343" builtinId="9" hidden="1"/>
    <cellStyle name="Followed Hyperlink" xfId="1339" builtinId="9" hidden="1"/>
    <cellStyle name="Followed Hyperlink" xfId="1335" builtinId="9" hidden="1"/>
    <cellStyle name="Followed Hyperlink" xfId="1331" builtinId="9" hidden="1"/>
    <cellStyle name="Followed Hyperlink" xfId="1327" builtinId="9" hidden="1"/>
    <cellStyle name="Followed Hyperlink" xfId="1323" builtinId="9" hidden="1"/>
    <cellStyle name="Followed Hyperlink" xfId="1319" builtinId="9" hidden="1"/>
    <cellStyle name="Followed Hyperlink" xfId="1315" builtinId="9" hidden="1"/>
    <cellStyle name="Followed Hyperlink" xfId="1311" builtinId="9" hidden="1"/>
    <cellStyle name="Followed Hyperlink" xfId="1307" builtinId="9" hidden="1"/>
    <cellStyle name="Followed Hyperlink" xfId="1303" builtinId="9" hidden="1"/>
    <cellStyle name="Followed Hyperlink" xfId="1299" builtinId="9" hidden="1"/>
    <cellStyle name="Followed Hyperlink" xfId="1295" builtinId="9" hidden="1"/>
    <cellStyle name="Followed Hyperlink" xfId="1291" builtinId="9" hidden="1"/>
    <cellStyle name="Followed Hyperlink" xfId="1287" builtinId="9" hidden="1"/>
    <cellStyle name="Followed Hyperlink" xfId="1283" builtinId="9" hidden="1"/>
    <cellStyle name="Followed Hyperlink" xfId="1279" builtinId="9" hidden="1"/>
    <cellStyle name="Followed Hyperlink" xfId="1275" builtinId="9" hidden="1"/>
    <cellStyle name="Followed Hyperlink" xfId="1271" builtinId="9" hidden="1"/>
    <cellStyle name="Followed Hyperlink" xfId="1267" builtinId="9" hidden="1"/>
    <cellStyle name="Followed Hyperlink" xfId="1263" builtinId="9" hidden="1"/>
    <cellStyle name="Followed Hyperlink" xfId="1259" builtinId="9" hidden="1"/>
    <cellStyle name="Followed Hyperlink" xfId="1255" builtinId="9" hidden="1"/>
    <cellStyle name="Followed Hyperlink" xfId="1251" builtinId="9" hidden="1"/>
    <cellStyle name="Followed Hyperlink" xfId="1247" builtinId="9" hidden="1"/>
    <cellStyle name="Followed Hyperlink" xfId="1243" builtinId="9" hidden="1"/>
    <cellStyle name="Followed Hyperlink" xfId="1239" builtinId="9" hidden="1"/>
    <cellStyle name="Followed Hyperlink" xfId="1235" builtinId="9" hidden="1"/>
    <cellStyle name="Followed Hyperlink" xfId="1231" builtinId="9" hidden="1"/>
    <cellStyle name="Followed Hyperlink" xfId="1227" builtinId="9" hidden="1"/>
    <cellStyle name="Followed Hyperlink" xfId="1223" builtinId="9" hidden="1"/>
    <cellStyle name="Followed Hyperlink" xfId="1219" builtinId="9" hidden="1"/>
    <cellStyle name="Followed Hyperlink" xfId="1215" builtinId="9" hidden="1"/>
    <cellStyle name="Followed Hyperlink" xfId="1211" builtinId="9" hidden="1"/>
    <cellStyle name="Followed Hyperlink" xfId="1207" builtinId="9" hidden="1"/>
    <cellStyle name="Followed Hyperlink" xfId="1203" builtinId="9" hidden="1"/>
    <cellStyle name="Followed Hyperlink" xfId="1199" builtinId="9" hidden="1"/>
    <cellStyle name="Followed Hyperlink" xfId="1195" builtinId="9" hidden="1"/>
    <cellStyle name="Followed Hyperlink" xfId="1191" builtinId="9" hidden="1"/>
    <cellStyle name="Followed Hyperlink" xfId="1187" builtinId="9" hidden="1"/>
    <cellStyle name="Followed Hyperlink" xfId="1183" builtinId="9" hidden="1"/>
    <cellStyle name="Followed Hyperlink" xfId="1179" builtinId="9" hidden="1"/>
    <cellStyle name="Followed Hyperlink" xfId="1175" builtinId="9" hidden="1"/>
    <cellStyle name="Followed Hyperlink" xfId="1171" builtinId="9" hidden="1"/>
    <cellStyle name="Followed Hyperlink" xfId="1167" builtinId="9" hidden="1"/>
    <cellStyle name="Followed Hyperlink" xfId="1163" builtinId="9" hidden="1"/>
    <cellStyle name="Followed Hyperlink" xfId="1159" builtinId="9" hidden="1"/>
    <cellStyle name="Followed Hyperlink" xfId="1155" builtinId="9" hidden="1"/>
    <cellStyle name="Followed Hyperlink" xfId="1151" builtinId="9" hidden="1"/>
    <cellStyle name="Followed Hyperlink" xfId="1147" builtinId="9" hidden="1"/>
    <cellStyle name="Followed Hyperlink" xfId="1143" builtinId="9" hidden="1"/>
    <cellStyle name="Followed Hyperlink" xfId="1139" builtinId="9" hidden="1"/>
    <cellStyle name="Followed Hyperlink" xfId="1135" builtinId="9" hidden="1"/>
    <cellStyle name="Followed Hyperlink" xfId="1131" builtinId="9" hidden="1"/>
    <cellStyle name="Followed Hyperlink" xfId="1127" builtinId="9" hidden="1"/>
    <cellStyle name="Followed Hyperlink" xfId="1123" builtinId="9" hidden="1"/>
    <cellStyle name="Followed Hyperlink" xfId="1119" builtinId="9" hidden="1"/>
    <cellStyle name="Followed Hyperlink" xfId="1115" builtinId="9" hidden="1"/>
    <cellStyle name="Followed Hyperlink" xfId="1111" builtinId="9" hidden="1"/>
    <cellStyle name="Followed Hyperlink" xfId="1107" builtinId="9" hidden="1"/>
    <cellStyle name="Followed Hyperlink" xfId="1103" builtinId="9" hidden="1"/>
    <cellStyle name="Followed Hyperlink" xfId="1099" builtinId="9" hidden="1"/>
    <cellStyle name="Followed Hyperlink" xfId="1095" builtinId="9" hidden="1"/>
    <cellStyle name="Followed Hyperlink" xfId="1091" builtinId="9" hidden="1"/>
    <cellStyle name="Followed Hyperlink" xfId="1087" builtinId="9" hidden="1"/>
    <cellStyle name="Followed Hyperlink" xfId="1083" builtinId="9" hidden="1"/>
    <cellStyle name="Followed Hyperlink" xfId="1079" builtinId="9" hidden="1"/>
    <cellStyle name="Followed Hyperlink" xfId="1075" builtinId="9" hidden="1"/>
    <cellStyle name="Followed Hyperlink" xfId="1071" builtinId="9" hidden="1"/>
    <cellStyle name="Followed Hyperlink" xfId="1067" builtinId="9" hidden="1"/>
    <cellStyle name="Followed Hyperlink" xfId="1063" builtinId="9" hidden="1"/>
    <cellStyle name="Followed Hyperlink" xfId="1059" builtinId="9" hidden="1"/>
    <cellStyle name="Followed Hyperlink" xfId="1055" builtinId="9" hidden="1"/>
    <cellStyle name="Followed Hyperlink" xfId="1051" builtinId="9" hidden="1"/>
    <cellStyle name="Followed Hyperlink" xfId="1047" builtinId="9" hidden="1"/>
    <cellStyle name="Followed Hyperlink" xfId="1043" builtinId="9" hidden="1"/>
    <cellStyle name="Followed Hyperlink" xfId="1039" builtinId="9" hidden="1"/>
    <cellStyle name="Followed Hyperlink" xfId="1035" builtinId="9" hidden="1"/>
    <cellStyle name="Followed Hyperlink" xfId="1031" builtinId="9" hidden="1"/>
    <cellStyle name="Followed Hyperlink" xfId="1027" builtinId="9" hidden="1"/>
    <cellStyle name="Followed Hyperlink" xfId="1023" builtinId="9" hidden="1"/>
    <cellStyle name="Followed Hyperlink" xfId="1019" builtinId="9" hidden="1"/>
    <cellStyle name="Followed Hyperlink" xfId="1015" builtinId="9" hidden="1"/>
    <cellStyle name="Followed Hyperlink" xfId="1011" builtinId="9" hidden="1"/>
    <cellStyle name="Followed Hyperlink" xfId="1007" builtinId="9" hidden="1"/>
    <cellStyle name="Followed Hyperlink" xfId="1003" builtinId="9" hidden="1"/>
    <cellStyle name="Followed Hyperlink" xfId="999" builtinId="9" hidden="1"/>
    <cellStyle name="Followed Hyperlink" xfId="995" builtinId="9" hidden="1"/>
    <cellStyle name="Followed Hyperlink" xfId="991" builtinId="9" hidden="1"/>
    <cellStyle name="Followed Hyperlink" xfId="987" builtinId="9" hidden="1"/>
    <cellStyle name="Followed Hyperlink" xfId="983" builtinId="9" hidden="1"/>
    <cellStyle name="Followed Hyperlink" xfId="979" builtinId="9" hidden="1"/>
    <cellStyle name="Followed Hyperlink" xfId="975" builtinId="9" hidden="1"/>
    <cellStyle name="Followed Hyperlink" xfId="971" builtinId="9" hidden="1"/>
    <cellStyle name="Followed Hyperlink" xfId="967" builtinId="9" hidden="1"/>
    <cellStyle name="Followed Hyperlink" xfId="963" builtinId="9" hidden="1"/>
    <cellStyle name="Followed Hyperlink" xfId="959" builtinId="9" hidden="1"/>
    <cellStyle name="Followed Hyperlink" xfId="955" builtinId="9" hidden="1"/>
    <cellStyle name="Followed Hyperlink" xfId="951" builtinId="9" hidden="1"/>
    <cellStyle name="Followed Hyperlink" xfId="947" builtinId="9" hidden="1"/>
    <cellStyle name="Followed Hyperlink" xfId="943" builtinId="9" hidden="1"/>
    <cellStyle name="Followed Hyperlink" xfId="939" builtinId="9" hidden="1"/>
    <cellStyle name="Followed Hyperlink" xfId="935" builtinId="9" hidden="1"/>
    <cellStyle name="Followed Hyperlink" xfId="931" builtinId="9" hidden="1"/>
    <cellStyle name="Followed Hyperlink" xfId="927" builtinId="9" hidden="1"/>
    <cellStyle name="Followed Hyperlink" xfId="923" builtinId="9" hidden="1"/>
    <cellStyle name="Followed Hyperlink" xfId="918" builtinId="9" hidden="1"/>
    <cellStyle name="Followed Hyperlink" xfId="914" builtinId="9" hidden="1"/>
    <cellStyle name="Followed Hyperlink" xfId="910" builtinId="9" hidden="1"/>
    <cellStyle name="Followed Hyperlink" xfId="906" builtinId="9" hidden="1"/>
    <cellStyle name="Followed Hyperlink" xfId="902" builtinId="9" hidden="1"/>
    <cellStyle name="Followed Hyperlink" xfId="898" builtinId="9" hidden="1"/>
    <cellStyle name="Followed Hyperlink" xfId="894" builtinId="9" hidden="1"/>
    <cellStyle name="Followed Hyperlink" xfId="890" builtinId="9" hidden="1"/>
    <cellStyle name="Followed Hyperlink" xfId="886" builtinId="9" hidden="1"/>
    <cellStyle name="Followed Hyperlink" xfId="882" builtinId="9" hidden="1"/>
    <cellStyle name="Followed Hyperlink" xfId="878" builtinId="9" hidden="1"/>
    <cellStyle name="Followed Hyperlink" xfId="874" builtinId="9" hidden="1"/>
    <cellStyle name="Followed Hyperlink" xfId="870" builtinId="9" hidden="1"/>
    <cellStyle name="Followed Hyperlink" xfId="866" builtinId="9" hidden="1"/>
    <cellStyle name="Followed Hyperlink" xfId="862" builtinId="9" hidden="1"/>
    <cellStyle name="Followed Hyperlink" xfId="858" builtinId="9" hidden="1"/>
    <cellStyle name="Followed Hyperlink" xfId="854" builtinId="9" hidden="1"/>
    <cellStyle name="Followed Hyperlink" xfId="850" builtinId="9" hidden="1"/>
    <cellStyle name="Followed Hyperlink" xfId="846" builtinId="9" hidden="1"/>
    <cellStyle name="Followed Hyperlink" xfId="842" builtinId="9" hidden="1"/>
    <cellStyle name="Followed Hyperlink" xfId="838" builtinId="9" hidden="1"/>
    <cellStyle name="Followed Hyperlink" xfId="834" builtinId="9" hidden="1"/>
    <cellStyle name="Followed Hyperlink" xfId="830" builtinId="9" hidden="1"/>
    <cellStyle name="Followed Hyperlink" xfId="826" builtinId="9" hidden="1"/>
    <cellStyle name="Followed Hyperlink" xfId="822" builtinId="9" hidden="1"/>
    <cellStyle name="Followed Hyperlink" xfId="818" builtinId="9" hidden="1"/>
    <cellStyle name="Followed Hyperlink" xfId="814" builtinId="9" hidden="1"/>
    <cellStyle name="Followed Hyperlink" xfId="810" builtinId="9" hidden="1"/>
    <cellStyle name="Followed Hyperlink" xfId="806" builtinId="9" hidden="1"/>
    <cellStyle name="Followed Hyperlink" xfId="802" builtinId="9" hidden="1"/>
    <cellStyle name="Followed Hyperlink" xfId="798" builtinId="9" hidden="1"/>
    <cellStyle name="Followed Hyperlink" xfId="794" builtinId="9" hidden="1"/>
    <cellStyle name="Followed Hyperlink" xfId="790" builtinId="9" hidden="1"/>
    <cellStyle name="Followed Hyperlink" xfId="786" builtinId="9" hidden="1"/>
    <cellStyle name="Followed Hyperlink" xfId="782" builtinId="9" hidden="1"/>
    <cellStyle name="Followed Hyperlink" xfId="778" builtinId="9" hidden="1"/>
    <cellStyle name="Followed Hyperlink" xfId="774" builtinId="9" hidden="1"/>
    <cellStyle name="Followed Hyperlink" xfId="770" builtinId="9" hidden="1"/>
    <cellStyle name="Followed Hyperlink" xfId="766" builtinId="9" hidden="1"/>
    <cellStyle name="Followed Hyperlink" xfId="762" builtinId="9" hidden="1"/>
    <cellStyle name="Followed Hyperlink" xfId="758" builtinId="9" hidden="1"/>
    <cellStyle name="Followed Hyperlink" xfId="754" builtinId="9" hidden="1"/>
    <cellStyle name="Followed Hyperlink" xfId="750" builtinId="9" hidden="1"/>
    <cellStyle name="Followed Hyperlink" xfId="746" builtinId="9" hidden="1"/>
    <cellStyle name="Followed Hyperlink" xfId="742" builtinId="9" hidden="1"/>
    <cellStyle name="Followed Hyperlink" xfId="738" builtinId="9" hidden="1"/>
    <cellStyle name="Followed Hyperlink" xfId="734" builtinId="9" hidden="1"/>
    <cellStyle name="Followed Hyperlink" xfId="730" builtinId="9" hidden="1"/>
    <cellStyle name="Followed Hyperlink" xfId="726" builtinId="9" hidden="1"/>
    <cellStyle name="Followed Hyperlink" xfId="722" builtinId="9" hidden="1"/>
    <cellStyle name="Followed Hyperlink" xfId="718" builtinId="9" hidden="1"/>
    <cellStyle name="Followed Hyperlink" xfId="714" builtinId="9" hidden="1"/>
    <cellStyle name="Followed Hyperlink" xfId="710" builtinId="9" hidden="1"/>
    <cellStyle name="Followed Hyperlink" xfId="706" builtinId="9" hidden="1"/>
    <cellStyle name="Followed Hyperlink" xfId="702" builtinId="9" hidden="1"/>
    <cellStyle name="Followed Hyperlink" xfId="698" builtinId="9" hidden="1"/>
    <cellStyle name="Followed Hyperlink" xfId="694" builtinId="9" hidden="1"/>
    <cellStyle name="Followed Hyperlink" xfId="690" builtinId="9" hidden="1"/>
    <cellStyle name="Followed Hyperlink" xfId="686" builtinId="9" hidden="1"/>
    <cellStyle name="Followed Hyperlink" xfId="682" builtinId="9" hidden="1"/>
    <cellStyle name="Followed Hyperlink" xfId="678" builtinId="9" hidden="1"/>
    <cellStyle name="Followed Hyperlink" xfId="674" builtinId="9" hidden="1"/>
    <cellStyle name="Followed Hyperlink" xfId="670" builtinId="9" hidden="1"/>
    <cellStyle name="Followed Hyperlink" xfId="666" builtinId="9" hidden="1"/>
    <cellStyle name="Followed Hyperlink" xfId="662" builtinId="9" hidden="1"/>
    <cellStyle name="Followed Hyperlink" xfId="658" builtinId="9" hidden="1"/>
    <cellStyle name="Followed Hyperlink" xfId="654" builtinId="9" hidden="1"/>
    <cellStyle name="Followed Hyperlink" xfId="650" builtinId="9" hidden="1"/>
    <cellStyle name="Followed Hyperlink" xfId="646" builtinId="9" hidden="1"/>
    <cellStyle name="Followed Hyperlink" xfId="642" builtinId="9" hidden="1"/>
    <cellStyle name="Followed Hyperlink" xfId="638" builtinId="9" hidden="1"/>
    <cellStyle name="Followed Hyperlink" xfId="634" builtinId="9" hidden="1"/>
    <cellStyle name="Followed Hyperlink" xfId="630" builtinId="9" hidden="1"/>
    <cellStyle name="Followed Hyperlink" xfId="626" builtinId="9" hidden="1"/>
    <cellStyle name="Followed Hyperlink" xfId="622" builtinId="9" hidden="1"/>
    <cellStyle name="Followed Hyperlink" xfId="618" builtinId="9" hidden="1"/>
    <cellStyle name="Followed Hyperlink" xfId="614" builtinId="9" hidden="1"/>
    <cellStyle name="Followed Hyperlink" xfId="610" builtinId="9" hidden="1"/>
    <cellStyle name="Followed Hyperlink" xfId="606" builtinId="9" hidden="1"/>
    <cellStyle name="Followed Hyperlink" xfId="602" builtinId="9" hidden="1"/>
    <cellStyle name="Followed Hyperlink" xfId="598" builtinId="9" hidden="1"/>
    <cellStyle name="Followed Hyperlink" xfId="594" builtinId="9" hidden="1"/>
    <cellStyle name="Followed Hyperlink" xfId="590" builtinId="9" hidden="1"/>
    <cellStyle name="Followed Hyperlink" xfId="586" builtinId="9" hidden="1"/>
    <cellStyle name="Followed Hyperlink" xfId="582" builtinId="9" hidden="1"/>
    <cellStyle name="Followed Hyperlink" xfId="578" builtinId="9" hidden="1"/>
    <cellStyle name="Followed Hyperlink" xfId="574" builtinId="9" hidden="1"/>
    <cellStyle name="Followed Hyperlink" xfId="570" builtinId="9" hidden="1"/>
    <cellStyle name="Followed Hyperlink" xfId="566" builtinId="9" hidden="1"/>
    <cellStyle name="Followed Hyperlink" xfId="562" builtinId="9" hidden="1"/>
    <cellStyle name="Followed Hyperlink" xfId="558" builtinId="9" hidden="1"/>
    <cellStyle name="Followed Hyperlink" xfId="554" builtinId="9" hidden="1"/>
    <cellStyle name="Followed Hyperlink" xfId="550" builtinId="9" hidden="1"/>
    <cellStyle name="Followed Hyperlink" xfId="546" builtinId="9" hidden="1"/>
    <cellStyle name="Followed Hyperlink" xfId="542" builtinId="9" hidden="1"/>
    <cellStyle name="Followed Hyperlink" xfId="538" builtinId="9" hidden="1"/>
    <cellStyle name="Followed Hyperlink" xfId="534" builtinId="9" hidden="1"/>
    <cellStyle name="Followed Hyperlink" xfId="530" builtinId="9" hidden="1"/>
    <cellStyle name="Followed Hyperlink" xfId="526" builtinId="9" hidden="1"/>
    <cellStyle name="Followed Hyperlink" xfId="522" builtinId="9" hidden="1"/>
    <cellStyle name="Followed Hyperlink" xfId="518" builtinId="9" hidden="1"/>
    <cellStyle name="Followed Hyperlink" xfId="514" builtinId="9" hidden="1"/>
    <cellStyle name="Followed Hyperlink" xfId="510" builtinId="9" hidden="1"/>
    <cellStyle name="Followed Hyperlink" xfId="506" builtinId="9" hidden="1"/>
    <cellStyle name="Followed Hyperlink" xfId="502" builtinId="9" hidden="1"/>
    <cellStyle name="Followed Hyperlink" xfId="498" builtinId="9" hidden="1"/>
    <cellStyle name="Followed Hyperlink" xfId="494" builtinId="9" hidden="1"/>
    <cellStyle name="Followed Hyperlink" xfId="490" builtinId="9" hidden="1"/>
    <cellStyle name="Followed Hyperlink" xfId="486" builtinId="9" hidden="1"/>
    <cellStyle name="Followed Hyperlink" xfId="482" builtinId="9" hidden="1"/>
    <cellStyle name="Followed Hyperlink" xfId="478" builtinId="9" hidden="1"/>
    <cellStyle name="Followed Hyperlink" xfId="474" builtinId="9" hidden="1"/>
    <cellStyle name="Followed Hyperlink" xfId="470" builtinId="9" hidden="1"/>
    <cellStyle name="Followed Hyperlink" xfId="466" builtinId="9" hidden="1"/>
    <cellStyle name="Followed Hyperlink" xfId="462" builtinId="9" hidden="1"/>
    <cellStyle name="Followed Hyperlink" xfId="458" builtinId="9" hidden="1"/>
    <cellStyle name="Followed Hyperlink" xfId="454" builtinId="9" hidden="1"/>
    <cellStyle name="Followed Hyperlink" xfId="450" builtinId="9" hidden="1"/>
    <cellStyle name="Followed Hyperlink" xfId="446" builtinId="9" hidden="1"/>
    <cellStyle name="Followed Hyperlink" xfId="442" builtinId="9" hidden="1"/>
    <cellStyle name="Followed Hyperlink" xfId="438" builtinId="9" hidden="1"/>
    <cellStyle name="Followed Hyperlink" xfId="434" builtinId="9" hidden="1"/>
    <cellStyle name="Followed Hyperlink" xfId="430" builtinId="9" hidden="1"/>
    <cellStyle name="Followed Hyperlink" xfId="426" builtinId="9" hidden="1"/>
    <cellStyle name="Followed Hyperlink" xfId="422" builtinId="9" hidden="1"/>
    <cellStyle name="Followed Hyperlink" xfId="418" builtinId="9" hidden="1"/>
    <cellStyle name="Followed Hyperlink" xfId="414" builtinId="9" hidden="1"/>
    <cellStyle name="Followed Hyperlink" xfId="410" builtinId="9" hidden="1"/>
    <cellStyle name="Followed Hyperlink" xfId="406" builtinId="9" hidden="1"/>
    <cellStyle name="Followed Hyperlink" xfId="402" builtinId="9" hidden="1"/>
    <cellStyle name="Followed Hyperlink" xfId="398" builtinId="9" hidden="1"/>
    <cellStyle name="Followed Hyperlink" xfId="394" builtinId="9" hidden="1"/>
    <cellStyle name="Followed Hyperlink" xfId="390" builtinId="9" hidden="1"/>
    <cellStyle name="Followed Hyperlink" xfId="386" builtinId="9" hidden="1"/>
    <cellStyle name="Followed Hyperlink" xfId="382" builtinId="9" hidden="1"/>
    <cellStyle name="Followed Hyperlink" xfId="378" builtinId="9" hidden="1"/>
    <cellStyle name="Followed Hyperlink" xfId="374" builtinId="9" hidden="1"/>
    <cellStyle name="Followed Hyperlink" xfId="370" builtinId="9" hidden="1"/>
    <cellStyle name="Followed Hyperlink" xfId="366" builtinId="9" hidden="1"/>
    <cellStyle name="Followed Hyperlink" xfId="362" builtinId="9" hidden="1"/>
    <cellStyle name="Followed Hyperlink" xfId="358" builtinId="9" hidden="1"/>
    <cellStyle name="Followed Hyperlink" xfId="354" builtinId="9" hidden="1"/>
    <cellStyle name="Followed Hyperlink" xfId="350" builtinId="9" hidden="1"/>
    <cellStyle name="Followed Hyperlink" xfId="346" builtinId="9" hidden="1"/>
    <cellStyle name="Followed Hyperlink" xfId="342" builtinId="9" hidden="1"/>
    <cellStyle name="Followed Hyperlink" xfId="338" builtinId="9" hidden="1"/>
    <cellStyle name="Followed Hyperlink" xfId="334" builtinId="9" hidden="1"/>
    <cellStyle name="Followed Hyperlink" xfId="330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952" builtinId="8" hidden="1"/>
    <cellStyle name="Hyperlink" xfId="1954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70" builtinId="8" hidden="1"/>
    <cellStyle name="Hyperlink" xfId="4872" builtinId="8" hidden="1"/>
    <cellStyle name="Hyperlink" xfId="4874" builtinId="8" hidden="1"/>
    <cellStyle name="Hyperlink" xfId="4878" builtinId="8" hidden="1"/>
    <cellStyle name="Hyperlink" xfId="4880" builtinId="8" hidden="1"/>
    <cellStyle name="Hyperlink" xfId="4882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90" builtinId="8" hidden="1"/>
    <cellStyle name="Hyperlink" xfId="5192" builtinId="8" hidden="1"/>
    <cellStyle name="Hyperlink" xfId="5194" builtinId="8" hidden="1"/>
    <cellStyle name="Hyperlink" xfId="5198" builtinId="8" hidden="1"/>
    <cellStyle name="Hyperlink" xfId="5200" builtinId="8" hidden="1"/>
    <cellStyle name="Hyperlink" xfId="5202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2" builtinId="8" hidden="1"/>
    <cellStyle name="Hyperlink" xfId="5624" builtinId="8" hidden="1"/>
    <cellStyle name="Hyperlink" xfId="5626" builtinId="8" hidden="1"/>
    <cellStyle name="Hyperlink" xfId="5630" builtinId="8" hidden="1"/>
    <cellStyle name="Hyperlink" xfId="5632" builtinId="8" hidden="1"/>
    <cellStyle name="Hyperlink" xfId="5634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6" builtinId="8" hidden="1"/>
    <cellStyle name="Hyperlink" xfId="5648" builtinId="8" hidden="1"/>
    <cellStyle name="Hyperlink" xfId="5650" builtinId="8" hidden="1"/>
    <cellStyle name="Hyperlink" xfId="5654" builtinId="8" hidden="1"/>
    <cellStyle name="Hyperlink" xfId="5656" builtinId="8" hidden="1"/>
    <cellStyle name="Hyperlink" xfId="5658" builtinId="8" hidden="1"/>
    <cellStyle name="Hyperlink" xfId="5662" builtinId="8" hidden="1"/>
    <cellStyle name="Hyperlink" xfId="5664" builtinId="8" hidden="1"/>
    <cellStyle name="Hyperlink" xfId="5666" builtinId="8" hidden="1"/>
    <cellStyle name="Hyperlink" xfId="5670" builtinId="8" hidden="1"/>
    <cellStyle name="Hyperlink" xfId="5672" builtinId="8" hidden="1"/>
    <cellStyle name="Hyperlink" xfId="5674" builtinId="8" hidden="1"/>
    <cellStyle name="Hyperlink" xfId="5678" builtinId="8" hidden="1"/>
    <cellStyle name="Hyperlink" xfId="5680" builtinId="8" hidden="1"/>
    <cellStyle name="Hyperlink" xfId="5682" builtinId="8" hidden="1"/>
    <cellStyle name="Hyperlink" xfId="5686" builtinId="8" hidden="1"/>
    <cellStyle name="Hyperlink" xfId="5688" builtinId="8" hidden="1"/>
    <cellStyle name="Hyperlink" xfId="5690" builtinId="8" hidden="1"/>
    <cellStyle name="Hyperlink" xfId="5694" builtinId="8" hidden="1"/>
    <cellStyle name="Hyperlink" xfId="5696" builtinId="8" hidden="1"/>
    <cellStyle name="Hyperlink" xfId="5698" builtinId="8" hidden="1"/>
    <cellStyle name="Hyperlink" xfId="5702" builtinId="8" hidden="1"/>
    <cellStyle name="Hyperlink" xfId="5704" builtinId="8" hidden="1"/>
    <cellStyle name="Hyperlink" xfId="5706" builtinId="8" hidden="1"/>
    <cellStyle name="Hyperlink" xfId="5710" builtinId="8" hidden="1"/>
    <cellStyle name="Hyperlink" xfId="5712" builtinId="8" hidden="1"/>
    <cellStyle name="Hyperlink" xfId="5714" builtinId="8" hidden="1"/>
    <cellStyle name="Hyperlink" xfId="5718" builtinId="8" hidden="1"/>
    <cellStyle name="Hyperlink" xfId="5720" builtinId="8" hidden="1"/>
    <cellStyle name="Hyperlink" xfId="5722" builtinId="8" hidden="1"/>
    <cellStyle name="Hyperlink" xfId="5726" builtinId="8" hidden="1"/>
    <cellStyle name="Hyperlink" xfId="5728" builtinId="8" hidden="1"/>
    <cellStyle name="Hyperlink" xfId="5730" builtinId="8" hidden="1"/>
    <cellStyle name="Hyperlink" xfId="5734" builtinId="8" hidden="1"/>
    <cellStyle name="Hyperlink" xfId="5736" builtinId="8" hidden="1"/>
    <cellStyle name="Hyperlink" xfId="5738" builtinId="8" hidden="1"/>
    <cellStyle name="Hyperlink" xfId="5742" builtinId="8" hidden="1"/>
    <cellStyle name="Hyperlink" xfId="5744" builtinId="8" hidden="1"/>
    <cellStyle name="Hyperlink" xfId="5746" builtinId="8" hidden="1"/>
    <cellStyle name="Hyperlink" xfId="5750" builtinId="8" hidden="1"/>
    <cellStyle name="Hyperlink" xfId="5752" builtinId="8" hidden="1"/>
    <cellStyle name="Hyperlink" xfId="5754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4" builtinId="8" hidden="1"/>
    <cellStyle name="Hyperlink" xfId="5776" builtinId="8" hidden="1"/>
    <cellStyle name="Hyperlink" xfId="5772" builtinId="8" hidden="1"/>
    <cellStyle name="Hyperlink" xfId="5764" builtinId="8" hidden="1"/>
    <cellStyle name="Hyperlink" xfId="5756" builtinId="8" hidden="1"/>
    <cellStyle name="Hyperlink" xfId="5748" builtinId="8" hidden="1"/>
    <cellStyle name="Hyperlink" xfId="5740" builtinId="8" hidden="1"/>
    <cellStyle name="Hyperlink" xfId="5732" builtinId="8" hidden="1"/>
    <cellStyle name="Hyperlink" xfId="5724" builtinId="8" hidden="1"/>
    <cellStyle name="Hyperlink" xfId="5716" builtinId="8" hidden="1"/>
    <cellStyle name="Hyperlink" xfId="5708" builtinId="8" hidden="1"/>
    <cellStyle name="Hyperlink" xfId="5700" builtinId="8" hidden="1"/>
    <cellStyle name="Hyperlink" xfId="5692" builtinId="8" hidden="1"/>
    <cellStyle name="Hyperlink" xfId="5684" builtinId="8" hidden="1"/>
    <cellStyle name="Hyperlink" xfId="5676" builtinId="8" hidden="1"/>
    <cellStyle name="Hyperlink" xfId="5668" builtinId="8" hidden="1"/>
    <cellStyle name="Hyperlink" xfId="5660" builtinId="8" hidden="1"/>
    <cellStyle name="Hyperlink" xfId="5652" builtinId="8" hidden="1"/>
    <cellStyle name="Hyperlink" xfId="5644" builtinId="8" hidden="1"/>
    <cellStyle name="Hyperlink" xfId="5636" builtinId="8" hidden="1"/>
    <cellStyle name="Hyperlink" xfId="5628" builtinId="8" hidden="1"/>
    <cellStyle name="Hyperlink" xfId="5620" builtinId="8" hidden="1"/>
    <cellStyle name="Hyperlink" xfId="5612" builtinId="8" hidden="1"/>
    <cellStyle name="Hyperlink" xfId="5604" builtinId="8" hidden="1"/>
    <cellStyle name="Hyperlink" xfId="5596" builtinId="8" hidden="1"/>
    <cellStyle name="Hyperlink" xfId="5588" builtinId="8" hidden="1"/>
    <cellStyle name="Hyperlink" xfId="5580" builtinId="8" hidden="1"/>
    <cellStyle name="Hyperlink" xfId="5572" builtinId="8" hidden="1"/>
    <cellStyle name="Hyperlink" xfId="5564" builtinId="8" hidden="1"/>
    <cellStyle name="Hyperlink" xfId="5556" builtinId="8" hidden="1"/>
    <cellStyle name="Hyperlink" xfId="5548" builtinId="8" hidden="1"/>
    <cellStyle name="Hyperlink" xfId="5540" builtinId="8" hidden="1"/>
    <cellStyle name="Hyperlink" xfId="5532" builtinId="8" hidden="1"/>
    <cellStyle name="Hyperlink" xfId="5524" builtinId="8" hidden="1"/>
    <cellStyle name="Hyperlink" xfId="5516" builtinId="8" hidden="1"/>
    <cellStyle name="Hyperlink" xfId="5508" builtinId="8" hidden="1"/>
    <cellStyle name="Hyperlink" xfId="5500" builtinId="8" hidden="1"/>
    <cellStyle name="Hyperlink" xfId="5492" builtinId="8" hidden="1"/>
    <cellStyle name="Hyperlink" xfId="5484" builtinId="8" hidden="1"/>
    <cellStyle name="Hyperlink" xfId="5476" builtinId="8" hidden="1"/>
    <cellStyle name="Hyperlink" xfId="5468" builtinId="8" hidden="1"/>
    <cellStyle name="Hyperlink" xfId="5460" builtinId="8" hidden="1"/>
    <cellStyle name="Hyperlink" xfId="5452" builtinId="8" hidden="1"/>
    <cellStyle name="Hyperlink" xfId="5444" builtinId="8" hidden="1"/>
    <cellStyle name="Hyperlink" xfId="5436" builtinId="8" hidden="1"/>
    <cellStyle name="Hyperlink" xfId="5428" builtinId="8" hidden="1"/>
    <cellStyle name="Hyperlink" xfId="5420" builtinId="8" hidden="1"/>
    <cellStyle name="Hyperlink" xfId="5412" builtinId="8" hidden="1"/>
    <cellStyle name="Hyperlink" xfId="5404" builtinId="8" hidden="1"/>
    <cellStyle name="Hyperlink" xfId="5396" builtinId="8" hidden="1"/>
    <cellStyle name="Hyperlink" xfId="5388" builtinId="8" hidden="1"/>
    <cellStyle name="Hyperlink" xfId="5380" builtinId="8" hidden="1"/>
    <cellStyle name="Hyperlink" xfId="5372" builtinId="8" hidden="1"/>
    <cellStyle name="Hyperlink" xfId="5364" builtinId="8" hidden="1"/>
    <cellStyle name="Hyperlink" xfId="5356" builtinId="8" hidden="1"/>
    <cellStyle name="Hyperlink" xfId="5348" builtinId="8" hidden="1"/>
    <cellStyle name="Hyperlink" xfId="5340" builtinId="8" hidden="1"/>
    <cellStyle name="Hyperlink" xfId="5332" builtinId="8" hidden="1"/>
    <cellStyle name="Hyperlink" xfId="5324" builtinId="8" hidden="1"/>
    <cellStyle name="Hyperlink" xfId="5316" builtinId="8" hidden="1"/>
    <cellStyle name="Hyperlink" xfId="5308" builtinId="8" hidden="1"/>
    <cellStyle name="Hyperlink" xfId="5300" builtinId="8" hidden="1"/>
    <cellStyle name="Hyperlink" xfId="5292" builtinId="8" hidden="1"/>
    <cellStyle name="Hyperlink" xfId="5284" builtinId="8" hidden="1"/>
    <cellStyle name="Hyperlink" xfId="5276" builtinId="8" hidden="1"/>
    <cellStyle name="Hyperlink" xfId="5268" builtinId="8" hidden="1"/>
    <cellStyle name="Hyperlink" xfId="5260" builtinId="8" hidden="1"/>
    <cellStyle name="Hyperlink" xfId="5252" builtinId="8" hidden="1"/>
    <cellStyle name="Hyperlink" xfId="5244" builtinId="8" hidden="1"/>
    <cellStyle name="Hyperlink" xfId="5236" builtinId="8" hidden="1"/>
    <cellStyle name="Hyperlink" xfId="5228" builtinId="8" hidden="1"/>
    <cellStyle name="Hyperlink" xfId="5220" builtinId="8" hidden="1"/>
    <cellStyle name="Hyperlink" xfId="5212" builtinId="8" hidden="1"/>
    <cellStyle name="Hyperlink" xfId="5204" builtinId="8" hidden="1"/>
    <cellStyle name="Hyperlink" xfId="5196" builtinId="8" hidden="1"/>
    <cellStyle name="Hyperlink" xfId="5188" builtinId="8" hidden="1"/>
    <cellStyle name="Hyperlink" xfId="5180" builtinId="8" hidden="1"/>
    <cellStyle name="Hyperlink" xfId="5172" builtinId="8" hidden="1"/>
    <cellStyle name="Hyperlink" xfId="5164" builtinId="8" hidden="1"/>
    <cellStyle name="Hyperlink" xfId="5156" builtinId="8" hidden="1"/>
    <cellStyle name="Hyperlink" xfId="5148" builtinId="8" hidden="1"/>
    <cellStyle name="Hyperlink" xfId="5140" builtinId="8" hidden="1"/>
    <cellStyle name="Hyperlink" xfId="5132" builtinId="8" hidden="1"/>
    <cellStyle name="Hyperlink" xfId="5124" builtinId="8" hidden="1"/>
    <cellStyle name="Hyperlink" xfId="5116" builtinId="8" hidden="1"/>
    <cellStyle name="Hyperlink" xfId="5108" builtinId="8" hidden="1"/>
    <cellStyle name="Hyperlink" xfId="5100" builtinId="8" hidden="1"/>
    <cellStyle name="Hyperlink" xfId="5092" builtinId="8" hidden="1"/>
    <cellStyle name="Hyperlink" xfId="5084" builtinId="8" hidden="1"/>
    <cellStyle name="Hyperlink" xfId="5076" builtinId="8" hidden="1"/>
    <cellStyle name="Hyperlink" xfId="5068" builtinId="8" hidden="1"/>
    <cellStyle name="Hyperlink" xfId="5060" builtinId="8" hidden="1"/>
    <cellStyle name="Hyperlink" xfId="5052" builtinId="8" hidden="1"/>
    <cellStyle name="Hyperlink" xfId="5044" builtinId="8" hidden="1"/>
    <cellStyle name="Hyperlink" xfId="5036" builtinId="8" hidden="1"/>
    <cellStyle name="Hyperlink" xfId="5028" builtinId="8" hidden="1"/>
    <cellStyle name="Hyperlink" xfId="5020" builtinId="8" hidden="1"/>
    <cellStyle name="Hyperlink" xfId="5012" builtinId="8" hidden="1"/>
    <cellStyle name="Hyperlink" xfId="5004" builtinId="8" hidden="1"/>
    <cellStyle name="Hyperlink" xfId="4996" builtinId="8" hidden="1"/>
    <cellStyle name="Hyperlink" xfId="4988" builtinId="8" hidden="1"/>
    <cellStyle name="Hyperlink" xfId="4980" builtinId="8" hidden="1"/>
    <cellStyle name="Hyperlink" xfId="4972" builtinId="8" hidden="1"/>
    <cellStyle name="Hyperlink" xfId="4964" builtinId="8" hidden="1"/>
    <cellStyle name="Hyperlink" xfId="4956" builtinId="8" hidden="1"/>
    <cellStyle name="Hyperlink" xfId="4948" builtinId="8" hidden="1"/>
    <cellStyle name="Hyperlink" xfId="4940" builtinId="8" hidden="1"/>
    <cellStyle name="Hyperlink" xfId="4932" builtinId="8" hidden="1"/>
    <cellStyle name="Hyperlink" xfId="4924" builtinId="8" hidden="1"/>
    <cellStyle name="Hyperlink" xfId="4916" builtinId="8" hidden="1"/>
    <cellStyle name="Hyperlink" xfId="4908" builtinId="8" hidden="1"/>
    <cellStyle name="Hyperlink" xfId="4900" builtinId="8" hidden="1"/>
    <cellStyle name="Hyperlink" xfId="4892" builtinId="8" hidden="1"/>
    <cellStyle name="Hyperlink" xfId="4884" builtinId="8" hidden="1"/>
    <cellStyle name="Hyperlink" xfId="4876" builtinId="8" hidden="1"/>
    <cellStyle name="Hyperlink" xfId="4868" builtinId="8" hidden="1"/>
    <cellStyle name="Hyperlink" xfId="4860" builtinId="8" hidden="1"/>
    <cellStyle name="Hyperlink" xfId="4852" builtinId="8" hidden="1"/>
    <cellStyle name="Hyperlink" xfId="4844" builtinId="8" hidden="1"/>
    <cellStyle name="Hyperlink" xfId="4836" builtinId="8" hidden="1"/>
    <cellStyle name="Hyperlink" xfId="4828" builtinId="8" hidden="1"/>
    <cellStyle name="Hyperlink" xfId="4820" builtinId="8" hidden="1"/>
    <cellStyle name="Hyperlink" xfId="4812" builtinId="8" hidden="1"/>
    <cellStyle name="Hyperlink" xfId="4804" builtinId="8" hidden="1"/>
    <cellStyle name="Hyperlink" xfId="4796" builtinId="8" hidden="1"/>
    <cellStyle name="Hyperlink" xfId="4788" builtinId="8" hidden="1"/>
    <cellStyle name="Hyperlink" xfId="4780" builtinId="8" hidden="1"/>
    <cellStyle name="Hyperlink" xfId="4772" builtinId="8" hidden="1"/>
    <cellStyle name="Hyperlink" xfId="4764" builtinId="8" hidden="1"/>
    <cellStyle name="Hyperlink" xfId="4756" builtinId="8" hidden="1"/>
    <cellStyle name="Hyperlink" xfId="4748" builtinId="8" hidden="1"/>
    <cellStyle name="Hyperlink" xfId="4740" builtinId="8" hidden="1"/>
    <cellStyle name="Hyperlink" xfId="4732" builtinId="8" hidden="1"/>
    <cellStyle name="Hyperlink" xfId="4724" builtinId="8" hidden="1"/>
    <cellStyle name="Hyperlink" xfId="4716" builtinId="8" hidden="1"/>
    <cellStyle name="Hyperlink" xfId="4708" builtinId="8" hidden="1"/>
    <cellStyle name="Hyperlink" xfId="4700" builtinId="8" hidden="1"/>
    <cellStyle name="Hyperlink" xfId="4692" builtinId="8" hidden="1"/>
    <cellStyle name="Hyperlink" xfId="4684" builtinId="8" hidden="1"/>
    <cellStyle name="Hyperlink" xfId="4676" builtinId="8" hidden="1"/>
    <cellStyle name="Hyperlink" xfId="4668" builtinId="8" hidden="1"/>
    <cellStyle name="Hyperlink" xfId="4660" builtinId="8" hidden="1"/>
    <cellStyle name="Hyperlink" xfId="4652" builtinId="8" hidden="1"/>
    <cellStyle name="Hyperlink" xfId="4644" builtinId="8" hidden="1"/>
    <cellStyle name="Hyperlink" xfId="4636" builtinId="8" hidden="1"/>
    <cellStyle name="Hyperlink" xfId="4628" builtinId="8" hidden="1"/>
    <cellStyle name="Hyperlink" xfId="4620" builtinId="8" hidden="1"/>
    <cellStyle name="Hyperlink" xfId="4612" builtinId="8" hidden="1"/>
    <cellStyle name="Hyperlink" xfId="4604" builtinId="8" hidden="1"/>
    <cellStyle name="Hyperlink" xfId="4596" builtinId="8" hidden="1"/>
    <cellStyle name="Hyperlink" xfId="4588" builtinId="8" hidden="1"/>
    <cellStyle name="Hyperlink" xfId="4580" builtinId="8" hidden="1"/>
    <cellStyle name="Hyperlink" xfId="4572" builtinId="8" hidden="1"/>
    <cellStyle name="Hyperlink" xfId="4564" builtinId="8" hidden="1"/>
    <cellStyle name="Hyperlink" xfId="4556" builtinId="8" hidden="1"/>
    <cellStyle name="Hyperlink" xfId="4548" builtinId="8" hidden="1"/>
    <cellStyle name="Hyperlink" xfId="4540" builtinId="8" hidden="1"/>
    <cellStyle name="Hyperlink" xfId="4532" builtinId="8" hidden="1"/>
    <cellStyle name="Hyperlink" xfId="4524" builtinId="8" hidden="1"/>
    <cellStyle name="Hyperlink" xfId="4516" builtinId="8" hidden="1"/>
    <cellStyle name="Hyperlink" xfId="4508" builtinId="8" hidden="1"/>
    <cellStyle name="Hyperlink" xfId="4500" builtinId="8" hidden="1"/>
    <cellStyle name="Hyperlink" xfId="4492" builtinId="8" hidden="1"/>
    <cellStyle name="Hyperlink" xfId="4484" builtinId="8" hidden="1"/>
    <cellStyle name="Hyperlink" xfId="4476" builtinId="8" hidden="1"/>
    <cellStyle name="Hyperlink" xfId="4468" builtinId="8" hidden="1"/>
    <cellStyle name="Hyperlink" xfId="4460" builtinId="8" hidden="1"/>
    <cellStyle name="Hyperlink" xfId="4452" builtinId="8" hidden="1"/>
    <cellStyle name="Hyperlink" xfId="4444" builtinId="8" hidden="1"/>
    <cellStyle name="Hyperlink" xfId="4436" builtinId="8" hidden="1"/>
    <cellStyle name="Hyperlink" xfId="4428" builtinId="8" hidden="1"/>
    <cellStyle name="Hyperlink" xfId="4420" builtinId="8" hidden="1"/>
    <cellStyle name="Hyperlink" xfId="4412" builtinId="8" hidden="1"/>
    <cellStyle name="Hyperlink" xfId="4404" builtinId="8" hidden="1"/>
    <cellStyle name="Hyperlink" xfId="4396" builtinId="8" hidden="1"/>
    <cellStyle name="Hyperlink" xfId="4388" builtinId="8" hidden="1"/>
    <cellStyle name="Hyperlink" xfId="4380" builtinId="8" hidden="1"/>
    <cellStyle name="Hyperlink" xfId="4372" builtinId="8" hidden="1"/>
    <cellStyle name="Hyperlink" xfId="4364" builtinId="8" hidden="1"/>
    <cellStyle name="Hyperlink" xfId="4356" builtinId="8" hidden="1"/>
    <cellStyle name="Hyperlink" xfId="4348" builtinId="8" hidden="1"/>
    <cellStyle name="Hyperlink" xfId="4340" builtinId="8" hidden="1"/>
    <cellStyle name="Hyperlink" xfId="4332" builtinId="8" hidden="1"/>
    <cellStyle name="Hyperlink" xfId="4324" builtinId="8" hidden="1"/>
    <cellStyle name="Hyperlink" xfId="4316" builtinId="8" hidden="1"/>
    <cellStyle name="Hyperlink" xfId="4308" builtinId="8" hidden="1"/>
    <cellStyle name="Hyperlink" xfId="4300" builtinId="8" hidden="1"/>
    <cellStyle name="Hyperlink" xfId="4292" builtinId="8" hidden="1"/>
    <cellStyle name="Hyperlink" xfId="4284" builtinId="8" hidden="1"/>
    <cellStyle name="Hyperlink" xfId="4276" builtinId="8" hidden="1"/>
    <cellStyle name="Hyperlink" xfId="4268" builtinId="8" hidden="1"/>
    <cellStyle name="Hyperlink" xfId="4260" builtinId="8" hidden="1"/>
    <cellStyle name="Hyperlink" xfId="4252" builtinId="8" hidden="1"/>
    <cellStyle name="Hyperlink" xfId="4244" builtinId="8" hidden="1"/>
    <cellStyle name="Hyperlink" xfId="4236" builtinId="8" hidden="1"/>
    <cellStyle name="Hyperlink" xfId="4228" builtinId="8" hidden="1"/>
    <cellStyle name="Hyperlink" xfId="4220" builtinId="8" hidden="1"/>
    <cellStyle name="Hyperlink" xfId="4212" builtinId="8" hidden="1"/>
    <cellStyle name="Hyperlink" xfId="4204" builtinId="8" hidden="1"/>
    <cellStyle name="Hyperlink" xfId="4196" builtinId="8" hidden="1"/>
    <cellStyle name="Hyperlink" xfId="4188" builtinId="8" hidden="1"/>
    <cellStyle name="Hyperlink" xfId="4180" builtinId="8" hidden="1"/>
    <cellStyle name="Hyperlink" xfId="4172" builtinId="8" hidden="1"/>
    <cellStyle name="Hyperlink" xfId="4164" builtinId="8" hidden="1"/>
    <cellStyle name="Hyperlink" xfId="4156" builtinId="8" hidden="1"/>
    <cellStyle name="Hyperlink" xfId="4148" builtinId="8" hidden="1"/>
    <cellStyle name="Hyperlink" xfId="4140" builtinId="8" hidden="1"/>
    <cellStyle name="Hyperlink" xfId="4132" builtinId="8" hidden="1"/>
    <cellStyle name="Hyperlink" xfId="4124" builtinId="8" hidden="1"/>
    <cellStyle name="Hyperlink" xfId="4116" builtinId="8" hidden="1"/>
    <cellStyle name="Hyperlink" xfId="4108" builtinId="8" hidden="1"/>
    <cellStyle name="Hyperlink" xfId="4100" builtinId="8" hidden="1"/>
    <cellStyle name="Hyperlink" xfId="4092" builtinId="8" hidden="1"/>
    <cellStyle name="Hyperlink" xfId="4084" builtinId="8" hidden="1"/>
    <cellStyle name="Hyperlink" xfId="4076" builtinId="8" hidden="1"/>
    <cellStyle name="Hyperlink" xfId="4068" builtinId="8" hidden="1"/>
    <cellStyle name="Hyperlink" xfId="4060" builtinId="8" hidden="1"/>
    <cellStyle name="Hyperlink" xfId="4052" builtinId="8" hidden="1"/>
    <cellStyle name="Hyperlink" xfId="4044" builtinId="8" hidden="1"/>
    <cellStyle name="Hyperlink" xfId="4036" builtinId="8" hidden="1"/>
    <cellStyle name="Hyperlink" xfId="4028" builtinId="8" hidden="1"/>
    <cellStyle name="Hyperlink" xfId="4020" builtinId="8" hidden="1"/>
    <cellStyle name="Hyperlink" xfId="4012" builtinId="8" hidden="1"/>
    <cellStyle name="Hyperlink" xfId="4004" builtinId="8" hidden="1"/>
    <cellStyle name="Hyperlink" xfId="3996" builtinId="8" hidden="1"/>
    <cellStyle name="Hyperlink" xfId="3988" builtinId="8" hidden="1"/>
    <cellStyle name="Hyperlink" xfId="3980" builtinId="8" hidden="1"/>
    <cellStyle name="Hyperlink" xfId="3972" builtinId="8" hidden="1"/>
    <cellStyle name="Hyperlink" xfId="3964" builtinId="8" hidden="1"/>
    <cellStyle name="Hyperlink" xfId="3956" builtinId="8" hidden="1"/>
    <cellStyle name="Hyperlink" xfId="3948" builtinId="8" hidden="1"/>
    <cellStyle name="Hyperlink" xfId="3940" builtinId="8" hidden="1"/>
    <cellStyle name="Hyperlink" xfId="3932" builtinId="8" hidden="1"/>
    <cellStyle name="Hyperlink" xfId="3924" builtinId="8" hidden="1"/>
    <cellStyle name="Hyperlink" xfId="3916" builtinId="8" hidden="1"/>
    <cellStyle name="Hyperlink" xfId="3908" builtinId="8" hidden="1"/>
    <cellStyle name="Hyperlink" xfId="3900" builtinId="8" hidden="1"/>
    <cellStyle name="Hyperlink" xfId="3892" builtinId="8" hidden="1"/>
    <cellStyle name="Hyperlink" xfId="3884" builtinId="8" hidden="1"/>
    <cellStyle name="Hyperlink" xfId="3876" builtinId="8" hidden="1"/>
    <cellStyle name="Hyperlink" xfId="3868" builtinId="8" hidden="1"/>
    <cellStyle name="Hyperlink" xfId="3860" builtinId="8" hidden="1"/>
    <cellStyle name="Hyperlink" xfId="3852" builtinId="8" hidden="1"/>
    <cellStyle name="Hyperlink" xfId="3844" builtinId="8" hidden="1"/>
    <cellStyle name="Hyperlink" xfId="3836" builtinId="8" hidden="1"/>
    <cellStyle name="Hyperlink" xfId="3828" builtinId="8" hidden="1"/>
    <cellStyle name="Hyperlink" xfId="3820" builtinId="8" hidden="1"/>
    <cellStyle name="Hyperlink" xfId="3812" builtinId="8" hidden="1"/>
    <cellStyle name="Hyperlink" xfId="3804" builtinId="8" hidden="1"/>
    <cellStyle name="Hyperlink" xfId="3796" builtinId="8" hidden="1"/>
    <cellStyle name="Hyperlink" xfId="3788" builtinId="8" hidden="1"/>
    <cellStyle name="Hyperlink" xfId="3780" builtinId="8" hidden="1"/>
    <cellStyle name="Hyperlink" xfId="3772" builtinId="8" hidden="1"/>
    <cellStyle name="Hyperlink" xfId="3764" builtinId="8" hidden="1"/>
    <cellStyle name="Hyperlink" xfId="3756" builtinId="8" hidden="1"/>
    <cellStyle name="Hyperlink" xfId="3748" builtinId="8" hidden="1"/>
    <cellStyle name="Hyperlink" xfId="3740" builtinId="8" hidden="1"/>
    <cellStyle name="Hyperlink" xfId="3732" builtinId="8" hidden="1"/>
    <cellStyle name="Hyperlink" xfId="3724" builtinId="8" hidden="1"/>
    <cellStyle name="Hyperlink" xfId="3716" builtinId="8" hidden="1"/>
    <cellStyle name="Hyperlink" xfId="3708" builtinId="8" hidden="1"/>
    <cellStyle name="Hyperlink" xfId="3700" builtinId="8" hidden="1"/>
    <cellStyle name="Hyperlink" xfId="3692" builtinId="8" hidden="1"/>
    <cellStyle name="Hyperlink" xfId="3684" builtinId="8" hidden="1"/>
    <cellStyle name="Hyperlink" xfId="3676" builtinId="8" hidden="1"/>
    <cellStyle name="Hyperlink" xfId="3668" builtinId="8" hidden="1"/>
    <cellStyle name="Hyperlink" xfId="3660" builtinId="8" hidden="1"/>
    <cellStyle name="Hyperlink" xfId="3652" builtinId="8" hidden="1"/>
    <cellStyle name="Hyperlink" xfId="3644" builtinId="8" hidden="1"/>
    <cellStyle name="Hyperlink" xfId="3636" builtinId="8" hidden="1"/>
    <cellStyle name="Hyperlink" xfId="3628" builtinId="8" hidden="1"/>
    <cellStyle name="Hyperlink" xfId="3620" builtinId="8" hidden="1"/>
    <cellStyle name="Hyperlink" xfId="3612" builtinId="8" hidden="1"/>
    <cellStyle name="Hyperlink" xfId="3604" builtinId="8" hidden="1"/>
    <cellStyle name="Hyperlink" xfId="3596" builtinId="8" hidden="1"/>
    <cellStyle name="Hyperlink" xfId="3588" builtinId="8" hidden="1"/>
    <cellStyle name="Hyperlink" xfId="3580" builtinId="8" hidden="1"/>
    <cellStyle name="Hyperlink" xfId="3572" builtinId="8" hidden="1"/>
    <cellStyle name="Hyperlink" xfId="3564" builtinId="8" hidden="1"/>
    <cellStyle name="Hyperlink" xfId="3556" builtinId="8" hidden="1"/>
    <cellStyle name="Hyperlink" xfId="3548" builtinId="8" hidden="1"/>
    <cellStyle name="Hyperlink" xfId="3540" builtinId="8" hidden="1"/>
    <cellStyle name="Hyperlink" xfId="3532" builtinId="8" hidden="1"/>
    <cellStyle name="Hyperlink" xfId="3524" builtinId="8" hidden="1"/>
    <cellStyle name="Hyperlink" xfId="3516" builtinId="8" hidden="1"/>
    <cellStyle name="Hyperlink" xfId="3508" builtinId="8" hidden="1"/>
    <cellStyle name="Hyperlink" xfId="3500" builtinId="8" hidden="1"/>
    <cellStyle name="Hyperlink" xfId="3492" builtinId="8" hidden="1"/>
    <cellStyle name="Hyperlink" xfId="3484" builtinId="8" hidden="1"/>
    <cellStyle name="Hyperlink" xfId="3476" builtinId="8" hidden="1"/>
    <cellStyle name="Hyperlink" xfId="3468" builtinId="8" hidden="1"/>
    <cellStyle name="Hyperlink" xfId="3460" builtinId="8" hidden="1"/>
    <cellStyle name="Hyperlink" xfId="3452" builtinId="8" hidden="1"/>
    <cellStyle name="Hyperlink" xfId="3444" builtinId="8" hidden="1"/>
    <cellStyle name="Hyperlink" xfId="3436" builtinId="8" hidden="1"/>
    <cellStyle name="Hyperlink" xfId="3428" builtinId="8" hidden="1"/>
    <cellStyle name="Hyperlink" xfId="3420" builtinId="8" hidden="1"/>
    <cellStyle name="Hyperlink" xfId="3412" builtinId="8" hidden="1"/>
    <cellStyle name="Hyperlink" xfId="3404" builtinId="8" hidden="1"/>
    <cellStyle name="Hyperlink" xfId="3396" builtinId="8" hidden="1"/>
    <cellStyle name="Hyperlink" xfId="3388" builtinId="8" hidden="1"/>
    <cellStyle name="Hyperlink" xfId="3380" builtinId="8" hidden="1"/>
    <cellStyle name="Hyperlink" xfId="3372" builtinId="8" hidden="1"/>
    <cellStyle name="Hyperlink" xfId="3364" builtinId="8" hidden="1"/>
    <cellStyle name="Hyperlink" xfId="3356" builtinId="8" hidden="1"/>
    <cellStyle name="Hyperlink" xfId="3348" builtinId="8" hidden="1"/>
    <cellStyle name="Hyperlink" xfId="3340" builtinId="8" hidden="1"/>
    <cellStyle name="Hyperlink" xfId="3332" builtinId="8" hidden="1"/>
    <cellStyle name="Hyperlink" xfId="3324" builtinId="8" hidden="1"/>
    <cellStyle name="Hyperlink" xfId="3316" builtinId="8" hidden="1"/>
    <cellStyle name="Hyperlink" xfId="3308" builtinId="8" hidden="1"/>
    <cellStyle name="Hyperlink" xfId="3300" builtinId="8" hidden="1"/>
    <cellStyle name="Hyperlink" xfId="3292" builtinId="8" hidden="1"/>
    <cellStyle name="Hyperlink" xfId="3284" builtinId="8" hidden="1"/>
    <cellStyle name="Hyperlink" xfId="3276" builtinId="8" hidden="1"/>
    <cellStyle name="Hyperlink" xfId="3268" builtinId="8" hidden="1"/>
    <cellStyle name="Hyperlink" xfId="3260" builtinId="8" hidden="1"/>
    <cellStyle name="Hyperlink" xfId="3252" builtinId="8" hidden="1"/>
    <cellStyle name="Hyperlink" xfId="3244" builtinId="8" hidden="1"/>
    <cellStyle name="Hyperlink" xfId="3236" builtinId="8" hidden="1"/>
    <cellStyle name="Hyperlink" xfId="3228" builtinId="8" hidden="1"/>
    <cellStyle name="Hyperlink" xfId="3220" builtinId="8" hidden="1"/>
    <cellStyle name="Hyperlink" xfId="3212" builtinId="8" hidden="1"/>
    <cellStyle name="Hyperlink" xfId="3204" builtinId="8" hidden="1"/>
    <cellStyle name="Hyperlink" xfId="3196" builtinId="8" hidden="1"/>
    <cellStyle name="Hyperlink" xfId="3188" builtinId="8" hidden="1"/>
    <cellStyle name="Hyperlink" xfId="3180" builtinId="8" hidden="1"/>
    <cellStyle name="Hyperlink" xfId="3172" builtinId="8" hidden="1"/>
    <cellStyle name="Hyperlink" xfId="3164" builtinId="8" hidden="1"/>
    <cellStyle name="Hyperlink" xfId="3156" builtinId="8" hidden="1"/>
    <cellStyle name="Hyperlink" xfId="3148" builtinId="8" hidden="1"/>
    <cellStyle name="Hyperlink" xfId="3140" builtinId="8" hidden="1"/>
    <cellStyle name="Hyperlink" xfId="3132" builtinId="8" hidden="1"/>
    <cellStyle name="Hyperlink" xfId="3124" builtinId="8" hidden="1"/>
    <cellStyle name="Hyperlink" xfId="3116" builtinId="8" hidden="1"/>
    <cellStyle name="Hyperlink" xfId="3108" builtinId="8" hidden="1"/>
    <cellStyle name="Hyperlink" xfId="3100" builtinId="8" hidden="1"/>
    <cellStyle name="Hyperlink" xfId="3092" builtinId="8" hidden="1"/>
    <cellStyle name="Hyperlink" xfId="3084" builtinId="8" hidden="1"/>
    <cellStyle name="Hyperlink" xfId="3076" builtinId="8" hidden="1"/>
    <cellStyle name="Hyperlink" xfId="3068" builtinId="8" hidden="1"/>
    <cellStyle name="Hyperlink" xfId="3060" builtinId="8" hidden="1"/>
    <cellStyle name="Hyperlink" xfId="3052" builtinId="8" hidden="1"/>
    <cellStyle name="Hyperlink" xfId="3044" builtinId="8" hidden="1"/>
    <cellStyle name="Hyperlink" xfId="3036" builtinId="8" hidden="1"/>
    <cellStyle name="Hyperlink" xfId="3028" builtinId="8" hidden="1"/>
    <cellStyle name="Hyperlink" xfId="3020" builtinId="8" hidden="1"/>
    <cellStyle name="Hyperlink" xfId="3012" builtinId="8" hidden="1"/>
    <cellStyle name="Hyperlink" xfId="3004" builtinId="8" hidden="1"/>
    <cellStyle name="Hyperlink" xfId="2996" builtinId="8" hidden="1"/>
    <cellStyle name="Hyperlink" xfId="2988" builtinId="8" hidden="1"/>
    <cellStyle name="Hyperlink" xfId="2980" builtinId="8" hidden="1"/>
    <cellStyle name="Hyperlink" xfId="2972" builtinId="8" hidden="1"/>
    <cellStyle name="Hyperlink" xfId="2964" builtinId="8" hidden="1"/>
    <cellStyle name="Hyperlink" xfId="2956" builtinId="8" hidden="1"/>
    <cellStyle name="Hyperlink" xfId="2948" builtinId="8" hidden="1"/>
    <cellStyle name="Hyperlink" xfId="2940" builtinId="8" hidden="1"/>
    <cellStyle name="Hyperlink" xfId="2932" builtinId="8" hidden="1"/>
    <cellStyle name="Hyperlink" xfId="2924" builtinId="8" hidden="1"/>
    <cellStyle name="Hyperlink" xfId="2916" builtinId="8" hidden="1"/>
    <cellStyle name="Hyperlink" xfId="2908" builtinId="8" hidden="1"/>
    <cellStyle name="Hyperlink" xfId="2900" builtinId="8" hidden="1"/>
    <cellStyle name="Hyperlink" xfId="2892" builtinId="8" hidden="1"/>
    <cellStyle name="Hyperlink" xfId="2884" builtinId="8" hidden="1"/>
    <cellStyle name="Hyperlink" xfId="2876" builtinId="8" hidden="1"/>
    <cellStyle name="Hyperlink" xfId="2868" builtinId="8" hidden="1"/>
    <cellStyle name="Hyperlink" xfId="2860" builtinId="8" hidden="1"/>
    <cellStyle name="Hyperlink" xfId="2852" builtinId="8" hidden="1"/>
    <cellStyle name="Hyperlink" xfId="2844" builtinId="8" hidden="1"/>
    <cellStyle name="Hyperlink" xfId="2836" builtinId="8" hidden="1"/>
    <cellStyle name="Hyperlink" xfId="2828" builtinId="8" hidden="1"/>
    <cellStyle name="Hyperlink" xfId="2820" builtinId="8" hidden="1"/>
    <cellStyle name="Hyperlink" xfId="2812" builtinId="8" hidden="1"/>
    <cellStyle name="Hyperlink" xfId="2804" builtinId="8" hidden="1"/>
    <cellStyle name="Hyperlink" xfId="2796" builtinId="8" hidden="1"/>
    <cellStyle name="Hyperlink" xfId="2788" builtinId="8" hidden="1"/>
    <cellStyle name="Hyperlink" xfId="2780" builtinId="8" hidden="1"/>
    <cellStyle name="Hyperlink" xfId="2772" builtinId="8" hidden="1"/>
    <cellStyle name="Hyperlink" xfId="2764" builtinId="8" hidden="1"/>
    <cellStyle name="Hyperlink" xfId="2756" builtinId="8" hidden="1"/>
    <cellStyle name="Hyperlink" xfId="2748" builtinId="8" hidden="1"/>
    <cellStyle name="Hyperlink" xfId="2740" builtinId="8" hidden="1"/>
    <cellStyle name="Hyperlink" xfId="2732" builtinId="8" hidden="1"/>
    <cellStyle name="Hyperlink" xfId="2724" builtinId="8" hidden="1"/>
    <cellStyle name="Hyperlink" xfId="2716" builtinId="8" hidden="1"/>
    <cellStyle name="Hyperlink" xfId="2708" builtinId="8" hidden="1"/>
    <cellStyle name="Hyperlink" xfId="2700" builtinId="8" hidden="1"/>
    <cellStyle name="Hyperlink" xfId="2692" builtinId="8" hidden="1"/>
    <cellStyle name="Hyperlink" xfId="2684" builtinId="8" hidden="1"/>
    <cellStyle name="Hyperlink" xfId="2676" builtinId="8" hidden="1"/>
    <cellStyle name="Hyperlink" xfId="2668" builtinId="8" hidden="1"/>
    <cellStyle name="Hyperlink" xfId="2660" builtinId="8" hidden="1"/>
    <cellStyle name="Hyperlink" xfId="2652" builtinId="8" hidden="1"/>
    <cellStyle name="Hyperlink" xfId="2644" builtinId="8" hidden="1"/>
    <cellStyle name="Hyperlink" xfId="2636" builtinId="8" hidden="1"/>
    <cellStyle name="Hyperlink" xfId="2628" builtinId="8" hidden="1"/>
    <cellStyle name="Hyperlink" xfId="2620" builtinId="8" hidden="1"/>
    <cellStyle name="Hyperlink" xfId="2612" builtinId="8" hidden="1"/>
    <cellStyle name="Hyperlink" xfId="2604" builtinId="8" hidden="1"/>
    <cellStyle name="Hyperlink" xfId="2596" builtinId="8" hidden="1"/>
    <cellStyle name="Hyperlink" xfId="2588" builtinId="8" hidden="1"/>
    <cellStyle name="Hyperlink" xfId="2580" builtinId="8" hidden="1"/>
    <cellStyle name="Hyperlink" xfId="2572" builtinId="8" hidden="1"/>
    <cellStyle name="Hyperlink" xfId="2564" builtinId="8" hidden="1"/>
    <cellStyle name="Hyperlink" xfId="2556" builtinId="8" hidden="1"/>
    <cellStyle name="Hyperlink" xfId="2548" builtinId="8" hidden="1"/>
    <cellStyle name="Hyperlink" xfId="2540" builtinId="8" hidden="1"/>
    <cellStyle name="Hyperlink" xfId="2532" builtinId="8" hidden="1"/>
    <cellStyle name="Hyperlink" xfId="2524" builtinId="8" hidden="1"/>
    <cellStyle name="Hyperlink" xfId="2516" builtinId="8" hidden="1"/>
    <cellStyle name="Hyperlink" xfId="2508" builtinId="8" hidden="1"/>
    <cellStyle name="Hyperlink" xfId="2500" builtinId="8" hidden="1"/>
    <cellStyle name="Hyperlink" xfId="2492" builtinId="8" hidden="1"/>
    <cellStyle name="Hyperlink" xfId="2484" builtinId="8" hidden="1"/>
    <cellStyle name="Hyperlink" xfId="2476" builtinId="8" hidden="1"/>
    <cellStyle name="Hyperlink" xfId="2468" builtinId="8" hidden="1"/>
    <cellStyle name="Hyperlink" xfId="2460" builtinId="8" hidden="1"/>
    <cellStyle name="Hyperlink" xfId="2452" builtinId="8" hidden="1"/>
    <cellStyle name="Hyperlink" xfId="2444" builtinId="8" hidden="1"/>
    <cellStyle name="Hyperlink" xfId="2436" builtinId="8" hidden="1"/>
    <cellStyle name="Hyperlink" xfId="2428" builtinId="8" hidden="1"/>
    <cellStyle name="Hyperlink" xfId="2420" builtinId="8" hidden="1"/>
    <cellStyle name="Hyperlink" xfId="2412" builtinId="8" hidden="1"/>
    <cellStyle name="Hyperlink" xfId="2404" builtinId="8" hidden="1"/>
    <cellStyle name="Hyperlink" xfId="2396" builtinId="8" hidden="1"/>
    <cellStyle name="Hyperlink" xfId="2388" builtinId="8" hidden="1"/>
    <cellStyle name="Hyperlink" xfId="2380" builtinId="8" hidden="1"/>
    <cellStyle name="Hyperlink" xfId="2372" builtinId="8" hidden="1"/>
    <cellStyle name="Hyperlink" xfId="2364" builtinId="8" hidden="1"/>
    <cellStyle name="Hyperlink" xfId="2356" builtinId="8" hidden="1"/>
    <cellStyle name="Hyperlink" xfId="2348" builtinId="8" hidden="1"/>
    <cellStyle name="Hyperlink" xfId="2340" builtinId="8" hidden="1"/>
    <cellStyle name="Hyperlink" xfId="2332" builtinId="8" hidden="1"/>
    <cellStyle name="Hyperlink" xfId="2324" builtinId="8" hidden="1"/>
    <cellStyle name="Hyperlink" xfId="2316" builtinId="8" hidden="1"/>
    <cellStyle name="Hyperlink" xfId="2308" builtinId="8" hidden="1"/>
    <cellStyle name="Hyperlink" xfId="2300" builtinId="8" hidden="1"/>
    <cellStyle name="Hyperlink" xfId="2292" builtinId="8" hidden="1"/>
    <cellStyle name="Hyperlink" xfId="2284" builtinId="8" hidden="1"/>
    <cellStyle name="Hyperlink" xfId="2276" builtinId="8" hidden="1"/>
    <cellStyle name="Hyperlink" xfId="2268" builtinId="8" hidden="1"/>
    <cellStyle name="Hyperlink" xfId="2260" builtinId="8" hidden="1"/>
    <cellStyle name="Hyperlink" xfId="2252" builtinId="8" hidden="1"/>
    <cellStyle name="Hyperlink" xfId="2244" builtinId="8" hidden="1"/>
    <cellStyle name="Hyperlink" xfId="2236" builtinId="8" hidden="1"/>
    <cellStyle name="Hyperlink" xfId="2228" builtinId="8" hidden="1"/>
    <cellStyle name="Hyperlink" xfId="2220" builtinId="8" hidden="1"/>
    <cellStyle name="Hyperlink" xfId="2212" builtinId="8" hidden="1"/>
    <cellStyle name="Hyperlink" xfId="2204" builtinId="8" hidden="1"/>
    <cellStyle name="Hyperlink" xfId="2196" builtinId="8" hidden="1"/>
    <cellStyle name="Hyperlink" xfId="2188" builtinId="8" hidden="1"/>
    <cellStyle name="Hyperlink" xfId="2180" builtinId="8" hidden="1"/>
    <cellStyle name="Hyperlink" xfId="2172" builtinId="8" hidden="1"/>
    <cellStyle name="Hyperlink" xfId="2164" builtinId="8" hidden="1"/>
    <cellStyle name="Hyperlink" xfId="2156" builtinId="8" hidden="1"/>
    <cellStyle name="Hyperlink" xfId="2148" builtinId="8" hidden="1"/>
    <cellStyle name="Hyperlink" xfId="2140" builtinId="8" hidden="1"/>
    <cellStyle name="Hyperlink" xfId="2132" builtinId="8" hidden="1"/>
    <cellStyle name="Hyperlink" xfId="2124" builtinId="8" hidden="1"/>
    <cellStyle name="Hyperlink" xfId="2116" builtinId="8" hidden="1"/>
    <cellStyle name="Hyperlink" xfId="2108" builtinId="8" hidden="1"/>
    <cellStyle name="Hyperlink" xfId="2100" builtinId="8" hidden="1"/>
    <cellStyle name="Hyperlink" xfId="2092" builtinId="8" hidden="1"/>
    <cellStyle name="Hyperlink" xfId="2084" builtinId="8" hidden="1"/>
    <cellStyle name="Hyperlink" xfId="2076" builtinId="8" hidden="1"/>
    <cellStyle name="Hyperlink" xfId="2068" builtinId="8" hidden="1"/>
    <cellStyle name="Hyperlink" xfId="2060" builtinId="8" hidden="1"/>
    <cellStyle name="Hyperlink" xfId="2052" builtinId="8" hidden="1"/>
    <cellStyle name="Hyperlink" xfId="2044" builtinId="8" hidden="1"/>
    <cellStyle name="Hyperlink" xfId="2036" builtinId="8" hidden="1"/>
    <cellStyle name="Hyperlink" xfId="2028" builtinId="8" hidden="1"/>
    <cellStyle name="Hyperlink" xfId="2020" builtinId="8" hidden="1"/>
    <cellStyle name="Hyperlink" xfId="2012" builtinId="8" hidden="1"/>
    <cellStyle name="Hyperlink" xfId="2004" builtinId="8" hidden="1"/>
    <cellStyle name="Hyperlink" xfId="1996" builtinId="8" hidden="1"/>
    <cellStyle name="Hyperlink" xfId="1988" builtinId="8" hidden="1"/>
    <cellStyle name="Hyperlink" xfId="1980" builtinId="8" hidden="1"/>
    <cellStyle name="Hyperlink" xfId="1972" builtinId="8" hidden="1"/>
    <cellStyle name="Hyperlink" xfId="1964" builtinId="8" hidden="1"/>
    <cellStyle name="Hyperlink" xfId="1956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7" builtinId="8" hidden="1"/>
    <cellStyle name="Hyperlink" xfId="919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40" builtinId="8" hidden="1"/>
    <cellStyle name="Hyperlink" xfId="1924" builtinId="8" hidden="1"/>
    <cellStyle name="Hyperlink" xfId="1908" builtinId="8" hidden="1"/>
    <cellStyle name="Hyperlink" xfId="1892" builtinId="8" hidden="1"/>
    <cellStyle name="Hyperlink" xfId="1876" builtinId="8" hidden="1"/>
    <cellStyle name="Hyperlink" xfId="1860" builtinId="8" hidden="1"/>
    <cellStyle name="Hyperlink" xfId="1844" builtinId="8" hidden="1"/>
    <cellStyle name="Hyperlink" xfId="1828" builtinId="8" hidden="1"/>
    <cellStyle name="Hyperlink" xfId="1812" builtinId="8" hidden="1"/>
    <cellStyle name="Hyperlink" xfId="1796" builtinId="8" hidden="1"/>
    <cellStyle name="Hyperlink" xfId="1780" builtinId="8" hidden="1"/>
    <cellStyle name="Hyperlink" xfId="1764" builtinId="8" hidden="1"/>
    <cellStyle name="Hyperlink" xfId="1748" builtinId="8" hidden="1"/>
    <cellStyle name="Hyperlink" xfId="1732" builtinId="8" hidden="1"/>
    <cellStyle name="Hyperlink" xfId="1716" builtinId="8" hidden="1"/>
    <cellStyle name="Hyperlink" xfId="1700" builtinId="8" hidden="1"/>
    <cellStyle name="Hyperlink" xfId="1684" builtinId="8" hidden="1"/>
    <cellStyle name="Hyperlink" xfId="1668" builtinId="8" hidden="1"/>
    <cellStyle name="Hyperlink" xfId="1652" builtinId="8" hidden="1"/>
    <cellStyle name="Hyperlink" xfId="1636" builtinId="8" hidden="1"/>
    <cellStyle name="Hyperlink" xfId="1620" builtinId="8" hidden="1"/>
    <cellStyle name="Hyperlink" xfId="1604" builtinId="8" hidden="1"/>
    <cellStyle name="Hyperlink" xfId="1588" builtinId="8" hidden="1"/>
    <cellStyle name="Hyperlink" xfId="1572" builtinId="8" hidden="1"/>
    <cellStyle name="Hyperlink" xfId="1556" builtinId="8" hidden="1"/>
    <cellStyle name="Hyperlink" xfId="1540" builtinId="8" hidden="1"/>
    <cellStyle name="Hyperlink" xfId="1524" builtinId="8" hidden="1"/>
    <cellStyle name="Hyperlink" xfId="1508" builtinId="8" hidden="1"/>
    <cellStyle name="Hyperlink" xfId="1492" builtinId="8" hidden="1"/>
    <cellStyle name="Hyperlink" xfId="1476" builtinId="8" hidden="1"/>
    <cellStyle name="Hyperlink" xfId="1460" builtinId="8" hidden="1"/>
    <cellStyle name="Hyperlink" xfId="1444" builtinId="8" hidden="1"/>
    <cellStyle name="Hyperlink" xfId="1428" builtinId="8" hidden="1"/>
    <cellStyle name="Hyperlink" xfId="1412" builtinId="8" hidden="1"/>
    <cellStyle name="Hyperlink" xfId="1396" builtinId="8" hidden="1"/>
    <cellStyle name="Hyperlink" xfId="1380" builtinId="8" hidden="1"/>
    <cellStyle name="Hyperlink" xfId="1364" builtinId="8" hidden="1"/>
    <cellStyle name="Hyperlink" xfId="1348" builtinId="8" hidden="1"/>
    <cellStyle name="Hyperlink" xfId="1332" builtinId="8" hidden="1"/>
    <cellStyle name="Hyperlink" xfId="1316" builtinId="8" hidden="1"/>
    <cellStyle name="Hyperlink" xfId="1300" builtinId="8" hidden="1"/>
    <cellStyle name="Hyperlink" xfId="1284" builtinId="8" hidden="1"/>
    <cellStyle name="Hyperlink" xfId="1268" builtinId="8" hidden="1"/>
    <cellStyle name="Hyperlink" xfId="1252" builtinId="8" hidden="1"/>
    <cellStyle name="Hyperlink" xfId="1236" builtinId="8" hidden="1"/>
    <cellStyle name="Hyperlink" xfId="1220" builtinId="8" hidden="1"/>
    <cellStyle name="Hyperlink" xfId="1204" builtinId="8" hidden="1"/>
    <cellStyle name="Hyperlink" xfId="1188" builtinId="8" hidden="1"/>
    <cellStyle name="Hyperlink" xfId="1172" builtinId="8" hidden="1"/>
    <cellStyle name="Hyperlink" xfId="1156" builtinId="8" hidden="1"/>
    <cellStyle name="Hyperlink" xfId="1140" builtinId="8" hidden="1"/>
    <cellStyle name="Hyperlink" xfId="1124" builtinId="8" hidden="1"/>
    <cellStyle name="Hyperlink" xfId="1108" builtinId="8" hidden="1"/>
    <cellStyle name="Hyperlink" xfId="1092" builtinId="8" hidden="1"/>
    <cellStyle name="Hyperlink" xfId="1076" builtinId="8" hidden="1"/>
    <cellStyle name="Hyperlink" xfId="1060" builtinId="8" hidden="1"/>
    <cellStyle name="Hyperlink" xfId="1044" builtinId="8" hidden="1"/>
    <cellStyle name="Hyperlink" xfId="1028" builtinId="8" hidden="1"/>
    <cellStyle name="Hyperlink" xfId="1012" builtinId="8" hidden="1"/>
    <cellStyle name="Hyperlink" xfId="996" builtinId="8" hidden="1"/>
    <cellStyle name="Hyperlink" xfId="980" builtinId="8" hidden="1"/>
    <cellStyle name="Hyperlink" xfId="964" builtinId="8" hidden="1"/>
    <cellStyle name="Hyperlink" xfId="948" builtinId="8" hidden="1"/>
    <cellStyle name="Hyperlink" xfId="932" builtinId="8" hidden="1"/>
    <cellStyle name="Hyperlink" xfId="915" builtinId="8" hidden="1"/>
    <cellStyle name="Hyperlink" xfId="899" builtinId="8" hidden="1"/>
    <cellStyle name="Hyperlink" xfId="883" builtinId="8" hidden="1"/>
    <cellStyle name="Hyperlink" xfId="867" builtinId="8" hidden="1"/>
    <cellStyle name="Hyperlink" xfId="851" builtinId="8" hidden="1"/>
    <cellStyle name="Hyperlink" xfId="835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03" builtinId="8" hidden="1"/>
    <cellStyle name="Hyperlink" xfId="771" builtinId="8" hidden="1"/>
    <cellStyle name="Hyperlink" xfId="739" builtinId="8" hidden="1"/>
    <cellStyle name="Hyperlink" xfId="707" builtinId="8" hidden="1"/>
    <cellStyle name="Hyperlink" xfId="675" builtinId="8" hidden="1"/>
    <cellStyle name="Hyperlink" xfId="643" builtinId="8" hidden="1"/>
    <cellStyle name="Hyperlink" xfId="611" builtinId="8" hidden="1"/>
    <cellStyle name="Hyperlink" xfId="579" builtinId="8" hidden="1"/>
    <cellStyle name="Hyperlink" xfId="547" builtinId="8" hidden="1"/>
    <cellStyle name="Hyperlink" xfId="515" builtinId="8" hidden="1"/>
    <cellStyle name="Hyperlink" xfId="483" builtinId="8" hidden="1"/>
    <cellStyle name="Hyperlink" xfId="451" builtinId="8" hidden="1"/>
    <cellStyle name="Hyperlink" xfId="419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55" builtinId="8" hidden="1"/>
    <cellStyle name="Hyperlink" xfId="291" builtinId="8" hidden="1"/>
    <cellStyle name="Hyperlink" xfId="227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63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Split of Revenue: Jan - Jun 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A0-4230-9AF3-FE7B973F85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A0-4230-9AF3-FE7B973F85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A0-4230-9AF3-FE7B973F85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A0-4230-9AF3-FE7B973F85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4A0-4230-9AF3-FE7B973F8536}"/>
              </c:ext>
            </c:extLst>
          </c:dPt>
          <c:cat>
            <c:strRef>
              <c:f>'ACCOUNTS 23'!$A$10:$A$18</c:f>
              <c:strCache>
                <c:ptCount val="5"/>
                <c:pt idx="0">
                  <c:v>Lettings -  Regular</c:v>
                </c:pt>
                <c:pt idx="1">
                  <c:v>Lettings -  Casual</c:v>
                </c:pt>
                <c:pt idx="2">
                  <c:v>Donations </c:v>
                </c:pt>
                <c:pt idx="3">
                  <c:v>Bank Interest</c:v>
                </c:pt>
                <c:pt idx="4">
                  <c:v>Afternoon Tea</c:v>
                </c:pt>
              </c:strCache>
            </c:strRef>
          </c:cat>
          <c:val>
            <c:numRef>
              <c:f>'ACCOUNTS 23'!$I$10:$I$18</c:f>
              <c:numCache>
                <c:formatCode>#,##0.00_);\(#,##0.00\);"-"</c:formatCode>
                <c:ptCount val="5"/>
                <c:pt idx="0">
                  <c:v>16707.04</c:v>
                </c:pt>
                <c:pt idx="1">
                  <c:v>3227.5</c:v>
                </c:pt>
                <c:pt idx="2">
                  <c:v>100</c:v>
                </c:pt>
                <c:pt idx="3">
                  <c:v>0</c:v>
                </c:pt>
                <c:pt idx="4">
                  <c:v>754.19999999999993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9-4224-B30B-B02A4439C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Hall Expenses Jan - Jun 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Expenditure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9C-4089-AD8D-79635E18AE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9C-4089-AD8D-79635E18AE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9C-4089-AD8D-79635E18AE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9C-4089-AD8D-79635E18AE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9C-4089-AD8D-79635E18AE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E9C-4089-AD8D-79635E18AE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'ACCOUNTS 23'!$Z$28:$Z$33</c:f>
              <c:strCache>
                <c:ptCount val="6"/>
                <c:pt idx="0">
                  <c:v>Gas</c:v>
                </c:pt>
                <c:pt idx="1">
                  <c:v>Electric</c:v>
                </c:pt>
                <c:pt idx="2">
                  <c:v>Cleaning</c:v>
                </c:pt>
                <c:pt idx="3">
                  <c:v>Repairs &amp; Maintenance</c:v>
                </c:pt>
                <c:pt idx="4">
                  <c:v>Insurance</c:v>
                </c:pt>
                <c:pt idx="5">
                  <c:v>Other</c:v>
                </c:pt>
              </c:strCache>
            </c:strRef>
          </c:cat>
          <c:val>
            <c:numRef>
              <c:f>'ACCOUNTS 23'!$AC$28:$AC$33</c:f>
              <c:numCache>
                <c:formatCode>0</c:formatCode>
                <c:ptCount val="6"/>
                <c:pt idx="0">
                  <c:v>1306.42</c:v>
                </c:pt>
                <c:pt idx="1">
                  <c:v>1009.2199999999999</c:v>
                </c:pt>
                <c:pt idx="2">
                  <c:v>4761.66</c:v>
                </c:pt>
                <c:pt idx="3">
                  <c:v>2371.7399999999998</c:v>
                </c:pt>
                <c:pt idx="4">
                  <c:v>2023.48</c:v>
                </c:pt>
                <c:pt idx="5">
                  <c:v>2460.3500000000022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BC-432A-8275-5FFD77333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8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39763779527555"/>
          <c:y val="0.23805373286672496"/>
          <c:w val="0.35160236220472441"/>
          <c:h val="0.59375328083989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279400</xdr:colOff>
      <xdr:row>4</xdr:row>
      <xdr:rowOff>190500</xdr:rowOff>
    </xdr:from>
    <xdr:to>
      <xdr:col>23</xdr:col>
      <xdr:colOff>165100</xdr:colOff>
      <xdr:row>21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E7D50E-4AD1-9BE4-6D7A-CA257BA27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273050</xdr:colOff>
      <xdr:row>31</xdr:row>
      <xdr:rowOff>44450</xdr:rowOff>
    </xdr:from>
    <xdr:to>
      <xdr:col>23</xdr:col>
      <xdr:colOff>158750</xdr:colOff>
      <xdr:row>45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51F952-8D06-8316-CC74-946DE5EC7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A133-4977-4B9B-91EA-4E93A3D94B02}">
  <dimension ref="A1:H66"/>
  <sheetViews>
    <sheetView topLeftCell="A28" workbookViewId="0">
      <selection activeCell="B66" sqref="B66"/>
    </sheetView>
  </sheetViews>
  <sheetFormatPr defaultColWidth="10.90625" defaultRowHeight="12.5" x14ac:dyDescent="0.25"/>
  <sheetData>
    <row r="1" spans="1:8" ht="13" x14ac:dyDescent="0.3">
      <c r="A1" s="30" t="s">
        <v>2084</v>
      </c>
      <c r="G1" t="s">
        <v>1867</v>
      </c>
    </row>
    <row r="2" spans="1:8" x14ac:dyDescent="0.25">
      <c r="G2" t="s">
        <v>35</v>
      </c>
    </row>
    <row r="3" spans="1:8" ht="13" x14ac:dyDescent="0.3">
      <c r="A3" s="23" t="s">
        <v>1472</v>
      </c>
      <c r="B3" s="23"/>
      <c r="C3" s="23"/>
      <c r="D3" s="23"/>
      <c r="E3" s="23"/>
      <c r="F3" s="23"/>
      <c r="G3" s="23"/>
      <c r="H3" s="23"/>
    </row>
    <row r="5" spans="1:8" ht="13" x14ac:dyDescent="0.3">
      <c r="A5" s="23" t="s">
        <v>1475</v>
      </c>
    </row>
    <row r="6" spans="1:8" x14ac:dyDescent="0.25">
      <c r="A6" t="s">
        <v>174</v>
      </c>
      <c r="B6" t="s">
        <v>1476</v>
      </c>
      <c r="C6">
        <v>3410</v>
      </c>
    </row>
    <row r="7" spans="1:8" x14ac:dyDescent="0.25">
      <c r="B7" t="s">
        <v>1476</v>
      </c>
      <c r="C7">
        <v>3400</v>
      </c>
    </row>
    <row r="8" spans="1:8" x14ac:dyDescent="0.25">
      <c r="B8" t="s">
        <v>1476</v>
      </c>
      <c r="C8">
        <v>3400</v>
      </c>
    </row>
    <row r="9" spans="1:8" x14ac:dyDescent="0.25">
      <c r="A9" t="s">
        <v>1694</v>
      </c>
      <c r="C9">
        <v>1428</v>
      </c>
    </row>
    <row r="10" spans="1:8" x14ac:dyDescent="0.25">
      <c r="A10" t="s">
        <v>1695</v>
      </c>
      <c r="C10">
        <v>1264</v>
      </c>
    </row>
    <row r="11" spans="1:8" x14ac:dyDescent="0.25">
      <c r="A11" t="s">
        <v>245</v>
      </c>
      <c r="C11" s="359">
        <v>600</v>
      </c>
      <c r="D11" s="15" t="s">
        <v>2085</v>
      </c>
    </row>
    <row r="12" spans="1:8" x14ac:dyDescent="0.25">
      <c r="A12" t="s">
        <v>347</v>
      </c>
      <c r="C12">
        <v>1050</v>
      </c>
      <c r="D12" s="15" t="s">
        <v>2086</v>
      </c>
    </row>
    <row r="13" spans="1:8" x14ac:dyDescent="0.25">
      <c r="A13" t="s">
        <v>475</v>
      </c>
      <c r="C13">
        <v>1278</v>
      </c>
    </row>
    <row r="14" spans="1:8" x14ac:dyDescent="0.25">
      <c r="A14" t="s">
        <v>1703</v>
      </c>
      <c r="C14">
        <v>703</v>
      </c>
    </row>
    <row r="15" spans="1:8" x14ac:dyDescent="0.25">
      <c r="A15" t="s">
        <v>1449</v>
      </c>
      <c r="C15">
        <v>327</v>
      </c>
    </row>
    <row r="16" spans="1:8" x14ac:dyDescent="0.25">
      <c r="A16" t="s">
        <v>1289</v>
      </c>
      <c r="C16">
        <v>395</v>
      </c>
    </row>
    <row r="17" spans="1:7" x14ac:dyDescent="0.25">
      <c r="A17" t="s">
        <v>1696</v>
      </c>
      <c r="C17">
        <v>577</v>
      </c>
    </row>
    <row r="18" spans="1:7" x14ac:dyDescent="0.25">
      <c r="A18" t="s">
        <v>1697</v>
      </c>
      <c r="C18">
        <v>661</v>
      </c>
    </row>
    <row r="19" spans="1:7" x14ac:dyDescent="0.25">
      <c r="A19" t="s">
        <v>407</v>
      </c>
      <c r="C19">
        <v>662</v>
      </c>
    </row>
    <row r="20" spans="1:7" x14ac:dyDescent="0.25">
      <c r="A20" t="s">
        <v>142</v>
      </c>
      <c r="C20">
        <v>713</v>
      </c>
    </row>
    <row r="21" spans="1:7" x14ac:dyDescent="0.25">
      <c r="A21" t="s">
        <v>216</v>
      </c>
      <c r="C21">
        <v>675</v>
      </c>
    </row>
    <row r="22" spans="1:7" x14ac:dyDescent="0.25">
      <c r="A22" t="s">
        <v>159</v>
      </c>
      <c r="C22" s="359">
        <v>50</v>
      </c>
    </row>
    <row r="23" spans="1:7" x14ac:dyDescent="0.25">
      <c r="A23" t="s">
        <v>351</v>
      </c>
      <c r="C23">
        <v>808</v>
      </c>
    </row>
    <row r="24" spans="1:7" x14ac:dyDescent="0.25">
      <c r="A24" t="s">
        <v>1868</v>
      </c>
      <c r="C24" s="359">
        <v>0</v>
      </c>
    </row>
    <row r="25" spans="1:7" x14ac:dyDescent="0.25">
      <c r="A25" t="s">
        <v>1869</v>
      </c>
      <c r="C25">
        <v>132</v>
      </c>
    </row>
    <row r="26" spans="1:7" x14ac:dyDescent="0.25">
      <c r="A26" t="s">
        <v>1870</v>
      </c>
      <c r="C26">
        <v>489</v>
      </c>
    </row>
    <row r="30" spans="1:7" x14ac:dyDescent="0.25">
      <c r="A30" t="s">
        <v>1477</v>
      </c>
      <c r="D30">
        <v>23000</v>
      </c>
      <c r="G30">
        <f>SUM(G6:G28)</f>
        <v>0</v>
      </c>
    </row>
    <row r="33" spans="1:6" ht="13" x14ac:dyDescent="0.3">
      <c r="A33" s="23" t="s">
        <v>1478</v>
      </c>
    </row>
    <row r="35" spans="1:6" x14ac:dyDescent="0.25">
      <c r="A35" t="s">
        <v>1706</v>
      </c>
      <c r="D35">
        <v>4500</v>
      </c>
    </row>
    <row r="38" spans="1:6" x14ac:dyDescent="0.25">
      <c r="A38" t="s">
        <v>1698</v>
      </c>
      <c r="D38">
        <v>360</v>
      </c>
    </row>
    <row r="40" spans="1:6" x14ac:dyDescent="0.25">
      <c r="A40" t="s">
        <v>1482</v>
      </c>
      <c r="D40">
        <v>300</v>
      </c>
    </row>
    <row r="42" spans="1:6" ht="13" x14ac:dyDescent="0.3">
      <c r="A42" s="23" t="s">
        <v>260</v>
      </c>
    </row>
    <row r="44" spans="1:6" x14ac:dyDescent="0.25">
      <c r="A44" t="s">
        <v>1483</v>
      </c>
    </row>
    <row r="45" spans="1:6" x14ac:dyDescent="0.25">
      <c r="A45" t="s">
        <v>1707</v>
      </c>
      <c r="D45">
        <v>-8000</v>
      </c>
      <c r="F45" t="s">
        <v>2185</v>
      </c>
    </row>
    <row r="46" spans="1:6" x14ac:dyDescent="0.25">
      <c r="A46" t="s">
        <v>1708</v>
      </c>
      <c r="D46">
        <v>-1800</v>
      </c>
    </row>
    <row r="47" spans="1:6" x14ac:dyDescent="0.25">
      <c r="A47" t="s">
        <v>1709</v>
      </c>
      <c r="D47">
        <v>-1800</v>
      </c>
    </row>
    <row r="48" spans="1:6" x14ac:dyDescent="0.25">
      <c r="A48" t="s">
        <v>1710</v>
      </c>
      <c r="D48">
        <v>-1200</v>
      </c>
    </row>
    <row r="49" spans="1:6" x14ac:dyDescent="0.25">
      <c r="A49" t="s">
        <v>1489</v>
      </c>
      <c r="D49">
        <v>-540</v>
      </c>
    </row>
    <row r="50" spans="1:6" x14ac:dyDescent="0.25">
      <c r="A50" t="s">
        <v>86</v>
      </c>
      <c r="D50">
        <v>-100</v>
      </c>
    </row>
    <row r="51" spans="1:6" x14ac:dyDescent="0.25">
      <c r="A51" t="s">
        <v>1711</v>
      </c>
      <c r="D51">
        <v>-1000</v>
      </c>
    </row>
    <row r="52" spans="1:6" ht="13" x14ac:dyDescent="0.3">
      <c r="A52" s="30" t="s">
        <v>12</v>
      </c>
    </row>
    <row r="53" spans="1:6" x14ac:dyDescent="0.25">
      <c r="A53" t="s">
        <v>1699</v>
      </c>
      <c r="C53">
        <v>5000</v>
      </c>
      <c r="F53">
        <f>400*12</f>
        <v>4800</v>
      </c>
    </row>
    <row r="54" spans="1:6" x14ac:dyDescent="0.25">
      <c r="A54" t="s">
        <v>1490</v>
      </c>
      <c r="C54">
        <v>1080</v>
      </c>
    </row>
    <row r="55" spans="1:6" x14ac:dyDescent="0.25">
      <c r="A55" t="s">
        <v>1712</v>
      </c>
      <c r="C55">
        <v>480</v>
      </c>
    </row>
    <row r="56" spans="1:6" x14ac:dyDescent="0.25">
      <c r="A56" t="s">
        <v>1492</v>
      </c>
      <c r="C56">
        <v>440</v>
      </c>
      <c r="D56">
        <f>-SUM(C53:C56)</f>
        <v>-7000</v>
      </c>
    </row>
    <row r="57" spans="1:6" ht="13" x14ac:dyDescent="0.3">
      <c r="A57" s="30" t="s">
        <v>13</v>
      </c>
    </row>
    <row r="58" spans="1:6" x14ac:dyDescent="0.25">
      <c r="A58" t="s">
        <v>1700</v>
      </c>
      <c r="C58">
        <v>610</v>
      </c>
    </row>
    <row r="59" spans="1:6" x14ac:dyDescent="0.25">
      <c r="A59" t="s">
        <v>232</v>
      </c>
      <c r="C59">
        <v>50</v>
      </c>
    </row>
    <row r="60" spans="1:6" x14ac:dyDescent="0.25">
      <c r="A60" t="s">
        <v>1495</v>
      </c>
      <c r="C60">
        <v>35</v>
      </c>
      <c r="D60">
        <f>-SUM(C58:C60)</f>
        <v>-695</v>
      </c>
    </row>
    <row r="61" spans="1:6" x14ac:dyDescent="0.25">
      <c r="A61" t="s">
        <v>1701</v>
      </c>
      <c r="D61">
        <v>-150</v>
      </c>
    </row>
    <row r="62" spans="1:6" x14ac:dyDescent="0.25">
      <c r="A62" t="s">
        <v>1496</v>
      </c>
      <c r="D62">
        <v>-750</v>
      </c>
    </row>
    <row r="63" spans="1:6" x14ac:dyDescent="0.25">
      <c r="A63" t="s">
        <v>1702</v>
      </c>
    </row>
    <row r="66" spans="4:4" x14ac:dyDescent="0.25">
      <c r="D66">
        <f>SUM(D6:D63)</f>
        <v>5125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14"/>
  <sheetViews>
    <sheetView showGridLines="0" workbookViewId="0">
      <pane ySplit="1" topLeftCell="A51" activePane="bottomLeft" state="frozen"/>
      <selection activeCell="M382" sqref="M382:Q383"/>
      <selection pane="bottomLeft" activeCell="J73" sqref="J73"/>
    </sheetView>
  </sheetViews>
  <sheetFormatPr defaultColWidth="8.7265625" defaultRowHeight="13" outlineLevelCol="1" x14ac:dyDescent="0.3"/>
  <cols>
    <col min="1" max="1" width="8.1796875" style="39" customWidth="1"/>
    <col min="2" max="2" width="8.1796875" style="106" customWidth="1"/>
    <col min="3" max="3" width="20.6328125" style="15" customWidth="1"/>
    <col min="4" max="4" width="19.453125" style="114" customWidth="1"/>
    <col min="5" max="5" width="17.36328125" style="13" customWidth="1" outlineLevel="1"/>
    <col min="6" max="6" width="2.1796875" style="15" customWidth="1"/>
    <col min="7" max="7" width="10.36328125" style="13" customWidth="1"/>
    <col min="8" max="8" width="11.1796875" style="43" bestFit="1" customWidth="1"/>
    <col min="9" max="9" width="16.1796875" style="43" customWidth="1" outlineLevel="1"/>
    <col min="10" max="10" width="10.54296875" style="43" bestFit="1" customWidth="1"/>
    <col min="11" max="11" width="11.36328125" style="43" customWidth="1"/>
    <col min="12" max="12" width="11.36328125" style="43" bestFit="1" customWidth="1"/>
    <col min="13" max="13" width="9.81640625" style="18" customWidth="1"/>
    <col min="14" max="14" width="9.81640625" style="15" bestFit="1" customWidth="1"/>
    <col min="15" max="15" width="8.7265625" style="16" customWidth="1"/>
    <col min="16" max="16" width="8.7265625" style="15"/>
    <col min="17" max="17" width="8.453125" style="11" customWidth="1"/>
    <col min="18" max="19" width="10.08984375" style="15" bestFit="1" customWidth="1"/>
    <col min="20" max="20" width="8.7265625" style="15"/>
    <col min="21" max="21" width="9.81640625" style="15" bestFit="1" customWidth="1"/>
    <col min="22" max="22" width="9.453125" style="15" bestFit="1" customWidth="1"/>
    <col min="23" max="16384" width="8.7265625" style="15"/>
  </cols>
  <sheetData>
    <row r="1" spans="1:15" x14ac:dyDescent="0.3">
      <c r="A1" s="12"/>
      <c r="B1" s="29"/>
      <c r="C1" s="5" t="s">
        <v>41</v>
      </c>
      <c r="D1" s="124"/>
      <c r="E1" s="2"/>
      <c r="G1" s="2" t="s">
        <v>42</v>
      </c>
      <c r="H1" s="41" t="s">
        <v>43</v>
      </c>
      <c r="I1" s="41" t="s">
        <v>494</v>
      </c>
      <c r="J1" s="41" t="s">
        <v>44</v>
      </c>
      <c r="K1" s="41" t="s">
        <v>493</v>
      </c>
      <c r="L1" s="41" t="s">
        <v>45</v>
      </c>
      <c r="M1" s="44" t="s">
        <v>46</v>
      </c>
    </row>
    <row r="2" spans="1:15" x14ac:dyDescent="0.3">
      <c r="B2" s="59"/>
      <c r="C2" s="24" t="s">
        <v>1286</v>
      </c>
      <c r="D2" s="255"/>
      <c r="E2" s="11"/>
      <c r="F2" s="27"/>
      <c r="G2" s="33"/>
      <c r="H2" s="27"/>
      <c r="I2" s="33"/>
      <c r="J2" s="42"/>
      <c r="K2" s="42"/>
      <c r="L2" s="42"/>
      <c r="M2" s="43"/>
      <c r="N2" s="43"/>
      <c r="O2" s="18"/>
    </row>
    <row r="3" spans="1:15" x14ac:dyDescent="0.3">
      <c r="B3" s="59"/>
      <c r="C3" s="12"/>
      <c r="D3" s="29"/>
      <c r="E3" s="11" t="s">
        <v>110</v>
      </c>
      <c r="F3" s="27"/>
      <c r="G3" s="33"/>
      <c r="H3" s="27"/>
      <c r="I3" s="33"/>
      <c r="J3" s="42"/>
      <c r="K3" s="42"/>
      <c r="L3" s="42"/>
      <c r="M3" s="43"/>
      <c r="N3" s="43">
        <f>10255.5+261</f>
        <v>10516.5</v>
      </c>
      <c r="O3" s="18"/>
    </row>
    <row r="4" spans="1:15" x14ac:dyDescent="0.3">
      <c r="B4" s="59"/>
      <c r="C4" s="12"/>
      <c r="D4" s="29"/>
      <c r="E4" s="11"/>
      <c r="F4" s="27"/>
      <c r="H4" s="11"/>
      <c r="I4" s="13"/>
      <c r="M4" s="43"/>
      <c r="N4" s="43"/>
      <c r="O4" s="18"/>
    </row>
    <row r="5" spans="1:15" x14ac:dyDescent="0.3">
      <c r="B5" s="59"/>
      <c r="C5" s="12"/>
      <c r="D5" s="29"/>
      <c r="E5" s="4" t="s">
        <v>1284</v>
      </c>
      <c r="F5" s="27"/>
      <c r="H5" s="11"/>
      <c r="I5" s="13"/>
      <c r="M5" s="43"/>
      <c r="N5" s="43"/>
      <c r="O5" s="18"/>
    </row>
    <row r="6" spans="1:15" x14ac:dyDescent="0.3">
      <c r="B6" s="59"/>
      <c r="C6" s="12"/>
      <c r="D6" s="29"/>
      <c r="E6" s="4"/>
      <c r="F6" s="27"/>
      <c r="H6" s="11"/>
      <c r="I6" s="13"/>
      <c r="M6" s="43"/>
      <c r="N6" s="43"/>
      <c r="O6" s="18"/>
    </row>
    <row r="7" spans="1:15" x14ac:dyDescent="0.3">
      <c r="B7" s="59"/>
      <c r="C7" s="12"/>
      <c r="D7" s="29"/>
      <c r="E7" s="4" t="s">
        <v>1100</v>
      </c>
      <c r="G7" s="4">
        <v>-261</v>
      </c>
      <c r="H7"/>
      <c r="I7" s="305" t="s">
        <v>1507</v>
      </c>
      <c r="J7"/>
      <c r="L7" s="254" t="s">
        <v>90</v>
      </c>
      <c r="M7" s="43"/>
      <c r="N7" s="43"/>
      <c r="O7" s="18"/>
    </row>
    <row r="8" spans="1:15" x14ac:dyDescent="0.3">
      <c r="B8" s="59"/>
      <c r="C8" s="12"/>
      <c r="D8" s="29"/>
      <c r="E8" s="4" t="s">
        <v>1459</v>
      </c>
      <c r="G8" s="4">
        <v>86.76</v>
      </c>
      <c r="H8"/>
      <c r="I8" t="s">
        <v>1508</v>
      </c>
      <c r="J8"/>
      <c r="K8" s="254"/>
      <c r="L8" s="254" t="s">
        <v>1543</v>
      </c>
      <c r="M8" s="43"/>
      <c r="N8" s="43"/>
      <c r="O8" s="18"/>
    </row>
    <row r="9" spans="1:15" x14ac:dyDescent="0.3">
      <c r="B9" s="59"/>
      <c r="C9" s="12"/>
      <c r="D9" s="29"/>
      <c r="E9" s="4" t="s">
        <v>97</v>
      </c>
      <c r="F9" s="244"/>
      <c r="G9" s="4">
        <v>-1440</v>
      </c>
      <c r="H9"/>
      <c r="I9" t="s">
        <v>1509</v>
      </c>
      <c r="J9"/>
      <c r="L9" s="254" t="s">
        <v>1542</v>
      </c>
      <c r="M9" s="43"/>
      <c r="N9" s="43"/>
      <c r="O9" s="18"/>
    </row>
    <row r="10" spans="1:15" x14ac:dyDescent="0.3">
      <c r="B10" s="59"/>
      <c r="C10" s="12"/>
      <c r="D10" s="29"/>
      <c r="E10" s="4"/>
      <c r="F10" s="244"/>
      <c r="G10" s="15"/>
      <c r="H10"/>
      <c r="I10" s="15"/>
      <c r="J10"/>
      <c r="M10" s="43"/>
      <c r="N10" s="43">
        <f>SUM(G7:G9)</f>
        <v>-1614.24</v>
      </c>
      <c r="O10" s="18"/>
    </row>
    <row r="11" spans="1:15" ht="13.5" thickBot="1" x14ac:dyDescent="0.35">
      <c r="B11" s="59"/>
      <c r="C11" s="12"/>
      <c r="D11" s="29"/>
      <c r="E11" s="11"/>
      <c r="F11" s="52"/>
      <c r="H11" s="15"/>
      <c r="I11" s="13"/>
      <c r="M11" s="43"/>
      <c r="N11" s="43"/>
      <c r="O11" s="18"/>
    </row>
    <row r="12" spans="1:15" ht="13.5" thickBot="1" x14ac:dyDescent="0.35">
      <c r="B12" s="59"/>
      <c r="C12" s="12"/>
      <c r="D12" s="284"/>
      <c r="E12" s="74" t="s">
        <v>1270</v>
      </c>
      <c r="F12" s="27"/>
      <c r="H12" s="11"/>
      <c r="I12" s="13"/>
      <c r="M12" s="43"/>
      <c r="N12" s="256">
        <f>SUM(N3:N11)</f>
        <v>8902.26</v>
      </c>
      <c r="O12" s="18"/>
    </row>
    <row r="13" spans="1:15" ht="13.5" thickTop="1" x14ac:dyDescent="0.3">
      <c r="B13" s="59"/>
      <c r="C13" s="12"/>
      <c r="D13" s="284"/>
      <c r="E13" s="4"/>
      <c r="F13" s="244"/>
      <c r="G13" s="15"/>
      <c r="H13"/>
      <c r="I13" s="210"/>
      <c r="J13"/>
      <c r="M13" s="43"/>
      <c r="N13" s="43"/>
      <c r="O13" s="64"/>
    </row>
    <row r="14" spans="1:15" x14ac:dyDescent="0.3">
      <c r="B14" s="59"/>
      <c r="C14" s="12"/>
      <c r="D14" s="29"/>
      <c r="E14" s="74"/>
      <c r="F14" s="27"/>
      <c r="H14" s="11"/>
      <c r="I14" s="13"/>
      <c r="M14" s="43"/>
      <c r="N14" s="263"/>
      <c r="O14" s="18"/>
    </row>
    <row r="15" spans="1:15" x14ac:dyDescent="0.3">
      <c r="B15" s="59"/>
      <c r="C15" s="12"/>
      <c r="D15" s="29"/>
      <c r="E15" s="74"/>
      <c r="F15" s="27"/>
      <c r="H15" s="11"/>
      <c r="I15" s="13"/>
      <c r="M15" s="43"/>
      <c r="N15" s="263"/>
      <c r="O15" s="18"/>
    </row>
    <row r="16" spans="1:15" x14ac:dyDescent="0.3">
      <c r="B16" s="59"/>
      <c r="C16" s="12"/>
      <c r="D16" s="29"/>
      <c r="E16" s="74"/>
      <c r="F16" s="27"/>
      <c r="H16" s="11"/>
      <c r="I16" s="13"/>
      <c r="M16" s="43"/>
      <c r="N16" s="263"/>
      <c r="O16" s="18"/>
    </row>
    <row r="17" spans="2:15" x14ac:dyDescent="0.3">
      <c r="B17" s="59"/>
      <c r="C17" s="12"/>
      <c r="D17" s="29"/>
      <c r="E17" s="74"/>
      <c r="F17" s="27"/>
      <c r="H17" s="11"/>
      <c r="I17" s="13"/>
      <c r="M17" s="43"/>
      <c r="N17" s="263"/>
      <c r="O17" s="18"/>
    </row>
    <row r="18" spans="2:15" x14ac:dyDescent="0.3">
      <c r="B18" s="59"/>
      <c r="C18" s="12"/>
      <c r="D18" s="12"/>
      <c r="E18" s="257" t="s">
        <v>1417</v>
      </c>
      <c r="F18" s="11"/>
      <c r="G18" s="27"/>
      <c r="H18" s="13"/>
      <c r="I18" s="11"/>
      <c r="J18" s="13"/>
      <c r="M18" s="43"/>
      <c r="N18" s="263"/>
      <c r="O18" s="18"/>
    </row>
    <row r="19" spans="2:15" x14ac:dyDescent="0.3">
      <c r="B19" s="59"/>
      <c r="C19" s="12"/>
      <c r="D19" s="39"/>
      <c r="E19" s="59"/>
      <c r="G19" s="52"/>
      <c r="H19" s="13"/>
      <c r="I19" s="15"/>
      <c r="J19" s="13"/>
      <c r="M19" s="43"/>
      <c r="N19" s="263"/>
      <c r="O19" s="18"/>
    </row>
    <row r="20" spans="2:15" x14ac:dyDescent="0.3">
      <c r="B20" s="59"/>
      <c r="C20" s="12"/>
      <c r="D20" s="283"/>
      <c r="E20" s="128"/>
      <c r="F20" s="52"/>
      <c r="G20" s="128"/>
      <c r="H20" s="52"/>
      <c r="I20" s="120"/>
      <c r="J20" s="27"/>
      <c r="K20" s="210"/>
      <c r="L20" s="42"/>
      <c r="M20" s="286"/>
      <c r="N20" s="263"/>
      <c r="O20" s="18"/>
    </row>
    <row r="21" spans="2:15" x14ac:dyDescent="0.3">
      <c r="B21" s="59"/>
      <c r="C21" s="12"/>
      <c r="D21" s="29"/>
      <c r="E21" s="128"/>
      <c r="F21" s="52"/>
      <c r="G21" s="128"/>
      <c r="H21" s="52"/>
      <c r="I21" s="120"/>
      <c r="J21" s="52"/>
      <c r="K21" s="210"/>
      <c r="L21" s="42"/>
      <c r="M21" s="286"/>
      <c r="N21" s="263"/>
      <c r="O21" s="18"/>
    </row>
    <row r="22" spans="2:15" x14ac:dyDescent="0.3">
      <c r="B22" s="59"/>
      <c r="C22" s="12"/>
      <c r="D22" s="131" t="s">
        <v>1463</v>
      </c>
      <c r="E22" s="4" t="s">
        <v>1779</v>
      </c>
      <c r="G22" s="132" t="s">
        <v>500</v>
      </c>
      <c r="H22" s="114"/>
      <c r="I22" s="121" t="s">
        <v>1280</v>
      </c>
      <c r="J22" s="52"/>
      <c r="K22" s="207" t="s">
        <v>324</v>
      </c>
      <c r="L22" s="49">
        <v>50</v>
      </c>
      <c r="M22" s="277" t="s">
        <v>1780</v>
      </c>
      <c r="N22" s="263"/>
      <c r="O22" s="18"/>
    </row>
    <row r="23" spans="2:15" x14ac:dyDescent="0.3">
      <c r="B23" s="59"/>
      <c r="C23" s="12"/>
      <c r="D23" s="131" t="s">
        <v>1464</v>
      </c>
      <c r="E23" s="4" t="s">
        <v>1437</v>
      </c>
      <c r="G23" s="132" t="s">
        <v>500</v>
      </c>
      <c r="H23" s="114"/>
      <c r="I23" s="121" t="s">
        <v>1280</v>
      </c>
      <c r="J23" s="27"/>
      <c r="K23" s="207" t="s">
        <v>324</v>
      </c>
      <c r="L23" s="49">
        <v>70</v>
      </c>
      <c r="M23" s="277" t="s">
        <v>1780</v>
      </c>
      <c r="N23" s="263"/>
      <c r="O23" s="18"/>
    </row>
    <row r="24" spans="2:15" x14ac:dyDescent="0.3">
      <c r="B24" s="59"/>
      <c r="C24" s="12"/>
      <c r="D24" s="131" t="s">
        <v>1465</v>
      </c>
      <c r="E24" s="4" t="s">
        <v>1365</v>
      </c>
      <c r="G24" s="287" t="s">
        <v>500</v>
      </c>
      <c r="H24" s="288"/>
      <c r="I24" s="191" t="s">
        <v>274</v>
      </c>
      <c r="J24" s="15"/>
      <c r="K24" s="210"/>
      <c r="L24" s="192">
        <v>50</v>
      </c>
      <c r="M24" s="277" t="s">
        <v>1688</v>
      </c>
      <c r="N24" s="263"/>
      <c r="O24" s="18"/>
    </row>
    <row r="25" spans="2:15" x14ac:dyDescent="0.3">
      <c r="B25" s="59"/>
      <c r="C25" s="12"/>
      <c r="D25" s="131" t="s">
        <v>1466</v>
      </c>
      <c r="E25" s="4" t="s">
        <v>1429</v>
      </c>
      <c r="G25" s="132" t="s">
        <v>500</v>
      </c>
      <c r="H25" s="114"/>
      <c r="I25" s="121" t="s">
        <v>1430</v>
      </c>
      <c r="J25" s="52"/>
      <c r="K25" s="210"/>
      <c r="L25" s="49">
        <v>150</v>
      </c>
      <c r="M25" s="277" t="s">
        <v>1616</v>
      </c>
      <c r="N25" s="263"/>
      <c r="O25" s="18"/>
    </row>
    <row r="26" spans="2:15" x14ac:dyDescent="0.3">
      <c r="B26" s="59"/>
      <c r="C26" s="12"/>
      <c r="D26" s="15"/>
      <c r="E26" s="15"/>
      <c r="G26" s="15"/>
      <c r="H26" s="15"/>
      <c r="I26" s="15"/>
      <c r="J26" s="15"/>
      <c r="K26" s="15"/>
      <c r="L26" s="15"/>
      <c r="M26" s="274"/>
      <c r="N26" s="263"/>
      <c r="O26" s="18"/>
    </row>
    <row r="27" spans="2:15" x14ac:dyDescent="0.3">
      <c r="B27" s="59"/>
      <c r="C27" s="12"/>
      <c r="D27" s="15"/>
      <c r="E27" s="15"/>
      <c r="G27" s="15"/>
      <c r="H27" s="15"/>
      <c r="I27" s="15"/>
      <c r="J27" s="15"/>
      <c r="K27" s="15"/>
      <c r="L27" s="15"/>
      <c r="M27" s="43"/>
      <c r="N27" s="263"/>
      <c r="O27" s="18"/>
    </row>
    <row r="28" spans="2:15" x14ac:dyDescent="0.3">
      <c r="B28" s="59"/>
      <c r="C28" s="12"/>
      <c r="D28" s="257"/>
      <c r="E28" s="128"/>
      <c r="F28" s="52"/>
      <c r="G28" s="128"/>
      <c r="H28" s="52"/>
      <c r="I28" s="120"/>
      <c r="J28" s="52"/>
      <c r="K28" s="210"/>
      <c r="L28" s="42"/>
      <c r="M28" s="286"/>
      <c r="N28" s="263"/>
      <c r="O28" s="18"/>
    </row>
    <row r="29" spans="2:15" x14ac:dyDescent="0.3">
      <c r="B29" s="59"/>
      <c r="C29" s="12"/>
      <c r="D29" s="257"/>
      <c r="E29" s="128"/>
      <c r="F29" s="52"/>
      <c r="G29" s="27"/>
      <c r="H29" s="52"/>
      <c r="I29" s="120"/>
      <c r="J29" s="52"/>
      <c r="K29" s="210"/>
      <c r="L29" s="42"/>
      <c r="M29" s="42"/>
      <c r="N29" s="263"/>
      <c r="O29" s="18"/>
    </row>
    <row r="30" spans="2:15" x14ac:dyDescent="0.3">
      <c r="B30" s="59"/>
      <c r="C30" s="12"/>
      <c r="D30" s="39"/>
      <c r="E30" s="59"/>
      <c r="G30" s="258" t="s">
        <v>1274</v>
      </c>
      <c r="H30" s="15"/>
      <c r="I30" s="13"/>
      <c r="J30" s="15"/>
      <c r="K30" s="13"/>
      <c r="L30" s="75">
        <f>SUM(L20:L28)</f>
        <v>320</v>
      </c>
      <c r="M30" s="43"/>
      <c r="N30" s="263"/>
      <c r="O30" s="18"/>
    </row>
    <row r="31" spans="2:15" x14ac:dyDescent="0.3">
      <c r="B31" s="59"/>
      <c r="C31" s="12"/>
      <c r="D31" s="29"/>
      <c r="E31" s="74"/>
      <c r="F31" s="27"/>
      <c r="H31" s="11"/>
      <c r="I31" s="13"/>
      <c r="M31" s="43"/>
      <c r="N31" s="263"/>
      <c r="O31" s="18"/>
    </row>
    <row r="32" spans="2:15" x14ac:dyDescent="0.3">
      <c r="B32" s="59"/>
      <c r="C32" s="12"/>
      <c r="D32" s="29"/>
      <c r="E32" s="74"/>
      <c r="F32" s="27"/>
      <c r="H32" s="11"/>
      <c r="I32" s="13"/>
      <c r="M32" s="43"/>
      <c r="N32" s="263"/>
      <c r="O32" s="18"/>
    </row>
    <row r="33" spans="1:20" x14ac:dyDescent="0.3">
      <c r="B33" s="59"/>
      <c r="C33" s="3"/>
      <c r="D33" s="127"/>
      <c r="E33" s="128"/>
      <c r="F33" s="129"/>
      <c r="G33" s="1"/>
      <c r="H33" s="4"/>
      <c r="I33" s="1"/>
      <c r="J33" s="125"/>
      <c r="K33" s="125"/>
      <c r="L33" s="125"/>
      <c r="M33" s="125"/>
      <c r="N33" s="18"/>
    </row>
    <row r="34" spans="1:20" x14ac:dyDescent="0.3">
      <c r="B34" s="59"/>
      <c r="C34" s="5"/>
      <c r="D34" s="124"/>
      <c r="E34" s="3"/>
      <c r="G34" s="2"/>
      <c r="H34" s="41"/>
      <c r="I34" s="41"/>
      <c r="J34" s="41"/>
      <c r="K34" s="41"/>
      <c r="L34" s="41"/>
      <c r="M34" s="44"/>
    </row>
    <row r="35" spans="1:20" x14ac:dyDescent="0.3">
      <c r="B35" s="59"/>
      <c r="C35" s="5"/>
      <c r="D35" s="124"/>
      <c r="E35" s="3"/>
      <c r="G35" s="2"/>
      <c r="H35" s="41"/>
      <c r="I35" s="41"/>
      <c r="J35" s="41"/>
      <c r="K35" s="41"/>
      <c r="L35" s="41"/>
      <c r="M35" s="44"/>
    </row>
    <row r="36" spans="1:20" x14ac:dyDescent="0.3">
      <c r="A36" s="12"/>
      <c r="B36" s="29"/>
      <c r="C36" s="5"/>
      <c r="D36" s="124"/>
      <c r="E36" s="2"/>
      <c r="G36" s="2"/>
      <c r="H36" s="41"/>
      <c r="I36" s="41"/>
      <c r="J36" s="41"/>
      <c r="K36" s="41"/>
      <c r="L36" s="41"/>
      <c r="M36" s="44"/>
    </row>
    <row r="37" spans="1:20" x14ac:dyDescent="0.3">
      <c r="A37" s="28"/>
      <c r="B37" s="29"/>
      <c r="C37" s="5" t="s">
        <v>112</v>
      </c>
      <c r="D37" s="124"/>
      <c r="E37" s="31"/>
      <c r="G37" s="2"/>
      <c r="H37" s="41"/>
      <c r="I37" s="41"/>
      <c r="J37" s="41"/>
      <c r="K37" s="41"/>
      <c r="L37" s="41"/>
      <c r="M37" s="44"/>
    </row>
    <row r="38" spans="1:20" x14ac:dyDescent="0.3">
      <c r="A38" s="28"/>
      <c r="B38" s="29"/>
      <c r="C38" s="5" t="s">
        <v>113</v>
      </c>
      <c r="D38" s="124"/>
      <c r="E38" s="32"/>
      <c r="G38" s="2"/>
      <c r="H38" s="41"/>
      <c r="I38" s="41"/>
      <c r="J38" s="41"/>
      <c r="K38" s="78" t="s">
        <v>503</v>
      </c>
      <c r="L38" s="328">
        <f>N12</f>
        <v>8902.26</v>
      </c>
      <c r="M38" s="44"/>
    </row>
    <row r="39" spans="1:20" x14ac:dyDescent="0.3">
      <c r="A39" s="12"/>
      <c r="B39" s="29"/>
      <c r="C39" s="11"/>
      <c r="D39" s="27"/>
      <c r="F39" s="11"/>
    </row>
    <row r="40" spans="1:20" s="23" customFormat="1" x14ac:dyDescent="0.3">
      <c r="A40" s="28" t="s">
        <v>495</v>
      </c>
      <c r="B40" s="107" t="s">
        <v>496</v>
      </c>
      <c r="C40" s="74" t="s">
        <v>497</v>
      </c>
      <c r="D40" s="113" t="s">
        <v>498</v>
      </c>
      <c r="E40" s="22"/>
      <c r="F40" s="74"/>
      <c r="G40" s="22"/>
      <c r="H40" s="75" t="s">
        <v>502</v>
      </c>
      <c r="I40" s="75" t="s">
        <v>501</v>
      </c>
      <c r="J40" s="75" t="s">
        <v>56</v>
      </c>
      <c r="K40" s="75" t="s">
        <v>493</v>
      </c>
      <c r="L40" s="75"/>
      <c r="M40" s="76"/>
      <c r="O40" s="77"/>
      <c r="Q40" s="74"/>
    </row>
    <row r="41" spans="1:20" x14ac:dyDescent="0.3">
      <c r="A41" s="12"/>
      <c r="B41" s="105" t="s">
        <v>482</v>
      </c>
      <c r="C41" s="4" t="s">
        <v>58</v>
      </c>
      <c r="D41" s="132" t="s">
        <v>9</v>
      </c>
      <c r="E41" s="1" t="s">
        <v>1455</v>
      </c>
      <c r="J41" s="43">
        <v>-86.76</v>
      </c>
      <c r="K41" s="43">
        <f>H41+J41</f>
        <v>-86.76</v>
      </c>
      <c r="L41" s="43">
        <f>L38+K41</f>
        <v>8815.5</v>
      </c>
      <c r="M41" s="18" t="s">
        <v>572</v>
      </c>
      <c r="N41" s="18"/>
      <c r="O41" s="30" t="s">
        <v>1517</v>
      </c>
      <c r="Q41" s="15"/>
    </row>
    <row r="42" spans="1:20" x14ac:dyDescent="0.3">
      <c r="A42" s="12"/>
      <c r="B42" s="105" t="s">
        <v>482</v>
      </c>
      <c r="C42" s="4" t="s">
        <v>58</v>
      </c>
      <c r="D42" s="132" t="s">
        <v>9</v>
      </c>
      <c r="E42" s="1" t="s">
        <v>1447</v>
      </c>
      <c r="J42" s="42">
        <v>1.69</v>
      </c>
      <c r="K42" s="43">
        <f t="shared" ref="K42:K93" si="0">H42+J42</f>
        <v>1.69</v>
      </c>
      <c r="L42" s="43">
        <f t="shared" ref="L42:L95" si="1">L41+K42</f>
        <v>8817.19</v>
      </c>
      <c r="M42" s="18" t="s">
        <v>572</v>
      </c>
      <c r="O42" t="s">
        <v>584</v>
      </c>
      <c r="Q42" s="15"/>
      <c r="S42" s="15">
        <v>12338.03</v>
      </c>
    </row>
    <row r="43" spans="1:20" x14ac:dyDescent="0.3">
      <c r="A43" s="12"/>
      <c r="B43" s="105" t="s">
        <v>482</v>
      </c>
      <c r="C43" s="4" t="s">
        <v>299</v>
      </c>
      <c r="D43" s="133" t="s">
        <v>301</v>
      </c>
      <c r="E43" s="213"/>
      <c r="F43" s="213"/>
      <c r="G43" s="214"/>
      <c r="H43" s="215"/>
      <c r="I43" s="215"/>
      <c r="J43" s="232">
        <v>-44.94</v>
      </c>
      <c r="K43" s="43">
        <f t="shared" si="0"/>
        <v>-44.94</v>
      </c>
      <c r="L43" s="43">
        <f t="shared" si="1"/>
        <v>8772.25</v>
      </c>
      <c r="M43" s="18" t="s">
        <v>90</v>
      </c>
      <c r="O43" t="s">
        <v>608</v>
      </c>
      <c r="Q43" s="15"/>
      <c r="R43" s="43"/>
    </row>
    <row r="44" spans="1:20" x14ac:dyDescent="0.3">
      <c r="A44" s="12"/>
      <c r="B44" s="105" t="s">
        <v>482</v>
      </c>
      <c r="C44" s="4" t="s">
        <v>607</v>
      </c>
      <c r="D44" s="133" t="s">
        <v>11</v>
      </c>
      <c r="E44" s="213"/>
      <c r="F44" s="213"/>
      <c r="G44" s="214"/>
      <c r="H44" s="215"/>
      <c r="I44" s="215"/>
      <c r="J44" s="232">
        <v>-46.45</v>
      </c>
      <c r="K44" s="43">
        <f t="shared" si="0"/>
        <v>-46.45</v>
      </c>
      <c r="L44" s="43">
        <f t="shared" si="1"/>
        <v>8725.7999999999993</v>
      </c>
      <c r="M44" s="18" t="s">
        <v>90</v>
      </c>
      <c r="O44"/>
      <c r="Q44" s="15"/>
      <c r="R44" s="43"/>
      <c r="S44" s="11"/>
      <c r="T44"/>
    </row>
    <row r="45" spans="1:20" x14ac:dyDescent="0.3">
      <c r="A45" s="12"/>
      <c r="B45" s="105" t="s">
        <v>482</v>
      </c>
      <c r="C45" s="214" t="s">
        <v>1109</v>
      </c>
      <c r="D45" s="133" t="s">
        <v>12</v>
      </c>
      <c r="E45" s="213"/>
      <c r="F45" s="215"/>
      <c r="G45" s="214"/>
      <c r="H45" s="215"/>
      <c r="I45" s="215"/>
      <c r="J45" s="232">
        <v>-33.619999999999997</v>
      </c>
      <c r="K45" s="43">
        <f t="shared" si="0"/>
        <v>-33.619999999999997</v>
      </c>
      <c r="L45" s="43">
        <f t="shared" si="1"/>
        <v>8692.1799999999985</v>
      </c>
      <c r="M45" s="18" t="s">
        <v>90</v>
      </c>
      <c r="O45" t="s">
        <v>586</v>
      </c>
      <c r="Q45" s="15"/>
      <c r="R45" s="43"/>
      <c r="S45" s="11"/>
      <c r="T45"/>
    </row>
    <row r="46" spans="1:20" x14ac:dyDescent="0.3">
      <c r="A46" s="12"/>
      <c r="B46" s="105" t="s">
        <v>482</v>
      </c>
      <c r="C46" s="4" t="s">
        <v>48</v>
      </c>
      <c r="D46" s="133" t="s">
        <v>12</v>
      </c>
      <c r="E46" s="213"/>
      <c r="F46" s="215"/>
      <c r="G46" s="214"/>
      <c r="H46" s="215"/>
      <c r="I46" s="215"/>
      <c r="J46" s="232">
        <v>-134.34</v>
      </c>
      <c r="K46" s="43">
        <f t="shared" si="0"/>
        <v>-134.34</v>
      </c>
      <c r="L46" s="43">
        <f t="shared" si="1"/>
        <v>8557.8399999999983</v>
      </c>
      <c r="M46" s="18" t="s">
        <v>90</v>
      </c>
      <c r="O46" s="4" t="s">
        <v>97</v>
      </c>
      <c r="P46" s="244"/>
      <c r="Q46" s="4">
        <v>-1440</v>
      </c>
      <c r="R46" s="11"/>
      <c r="S46" t="s">
        <v>90</v>
      </c>
      <c r="T46"/>
    </row>
    <row r="47" spans="1:20" x14ac:dyDescent="0.3">
      <c r="A47" s="12"/>
      <c r="B47" s="105" t="s">
        <v>482</v>
      </c>
      <c r="C47" s="1" t="s">
        <v>1271</v>
      </c>
      <c r="D47" s="133" t="s">
        <v>12</v>
      </c>
      <c r="E47" s="168" t="s">
        <v>1009</v>
      </c>
      <c r="F47" s="27"/>
      <c r="G47" s="33"/>
      <c r="H47" s="42"/>
      <c r="I47" s="42"/>
      <c r="J47" s="42">
        <v>-208.8</v>
      </c>
      <c r="K47" s="43">
        <f t="shared" si="0"/>
        <v>-208.8</v>
      </c>
      <c r="L47" s="43">
        <f t="shared" si="1"/>
        <v>8349.0399999999991</v>
      </c>
      <c r="O47" t="s">
        <v>1100</v>
      </c>
      <c r="Q47" s="15">
        <v>-208.8</v>
      </c>
      <c r="R47" s="11"/>
      <c r="S47" t="s">
        <v>90</v>
      </c>
    </row>
    <row r="48" spans="1:20" x14ac:dyDescent="0.3">
      <c r="A48" s="12"/>
      <c r="B48" s="105" t="s">
        <v>482</v>
      </c>
      <c r="C48" s="4" t="s">
        <v>58</v>
      </c>
      <c r="D48" s="132" t="s">
        <v>8</v>
      </c>
      <c r="E48" s="269"/>
      <c r="F48" s="240"/>
      <c r="G48" s="264"/>
      <c r="H48" s="240"/>
      <c r="I48" s="240"/>
      <c r="J48" s="272">
        <v>-413.12</v>
      </c>
      <c r="K48" s="43">
        <f t="shared" si="0"/>
        <v>-413.12</v>
      </c>
      <c r="L48" s="43">
        <f t="shared" si="1"/>
        <v>7935.9199999999992</v>
      </c>
      <c r="M48" s="18" t="s">
        <v>90</v>
      </c>
      <c r="O48" s="252" t="s">
        <v>1518</v>
      </c>
      <c r="Q48" s="15">
        <v>1.69</v>
      </c>
      <c r="R48" s="4"/>
      <c r="S48" t="s">
        <v>90</v>
      </c>
    </row>
    <row r="49" spans="1:21" x14ac:dyDescent="0.3">
      <c r="A49" s="12"/>
      <c r="B49" s="105" t="s">
        <v>482</v>
      </c>
      <c r="C49" s="4" t="s">
        <v>174</v>
      </c>
      <c r="D49" s="132" t="s">
        <v>513</v>
      </c>
      <c r="E49" s="120"/>
      <c r="F49" s="27"/>
      <c r="G49" s="33"/>
      <c r="H49" s="321">
        <v>3360</v>
      </c>
      <c r="I49" s="42"/>
      <c r="J49" s="42"/>
      <c r="K49" s="43">
        <f t="shared" si="0"/>
        <v>3360</v>
      </c>
      <c r="L49" s="43">
        <f t="shared" si="1"/>
        <v>11295.919999999998</v>
      </c>
      <c r="M49" s="18" t="s">
        <v>90</v>
      </c>
      <c r="O49" s="15"/>
      <c r="Q49" s="15"/>
      <c r="R49" s="43"/>
      <c r="S49" s="57">
        <f>SUM(Q46:Q58)</f>
        <v>-1647.11</v>
      </c>
    </row>
    <row r="50" spans="1:21" x14ac:dyDescent="0.3">
      <c r="A50" s="12"/>
      <c r="B50" s="105" t="s">
        <v>482</v>
      </c>
      <c r="C50" s="4" t="s">
        <v>1516</v>
      </c>
      <c r="D50" s="132" t="s">
        <v>13</v>
      </c>
      <c r="I50" s="42"/>
      <c r="J50" s="42">
        <v>-605</v>
      </c>
      <c r="K50" s="43">
        <f t="shared" si="0"/>
        <v>-605</v>
      </c>
      <c r="L50" s="43">
        <f t="shared" si="1"/>
        <v>10690.919999999998</v>
      </c>
      <c r="M50" s="18" t="s">
        <v>90</v>
      </c>
      <c r="O50" s="15"/>
      <c r="Q50" s="15"/>
    </row>
    <row r="51" spans="1:21" x14ac:dyDescent="0.3">
      <c r="A51" s="12"/>
      <c r="B51" s="105"/>
      <c r="I51" s="42"/>
      <c r="J51" s="42"/>
      <c r="K51" s="43">
        <f>H57+J51</f>
        <v>0</v>
      </c>
      <c r="L51" s="75">
        <f t="shared" si="1"/>
        <v>10690.919999999998</v>
      </c>
      <c r="O51" t="s">
        <v>652</v>
      </c>
      <c r="Q51" s="15"/>
      <c r="S51" s="74">
        <f>SUM(S42:S49)</f>
        <v>10690.92</v>
      </c>
      <c r="T51" t="s">
        <v>588</v>
      </c>
    </row>
    <row r="52" spans="1:21" x14ac:dyDescent="0.3">
      <c r="A52" s="12"/>
      <c r="B52" s="105"/>
      <c r="C52" s="4"/>
      <c r="D52" s="112"/>
      <c r="E52" s="120"/>
      <c r="F52" s="27"/>
      <c r="G52" s="33"/>
      <c r="H52" s="42"/>
      <c r="I52" s="42"/>
      <c r="J52" s="42"/>
      <c r="K52" s="43">
        <f t="shared" si="0"/>
        <v>0</v>
      </c>
      <c r="L52" s="43">
        <f t="shared" si="1"/>
        <v>10690.919999999998</v>
      </c>
    </row>
    <row r="53" spans="1:21" x14ac:dyDescent="0.3">
      <c r="A53" s="28" t="s">
        <v>78</v>
      </c>
      <c r="B53" s="105"/>
      <c r="C53" s="4"/>
      <c r="D53" s="132"/>
      <c r="E53" s="120"/>
      <c r="F53" s="27"/>
      <c r="G53" s="33"/>
      <c r="H53" s="42"/>
      <c r="I53" s="42"/>
      <c r="J53" s="42"/>
      <c r="K53" s="43">
        <f t="shared" si="0"/>
        <v>0</v>
      </c>
      <c r="L53" s="43">
        <f t="shared" si="1"/>
        <v>10690.919999999998</v>
      </c>
    </row>
    <row r="54" spans="1:21" x14ac:dyDescent="0.3">
      <c r="A54" s="28"/>
      <c r="B54" s="105" t="s">
        <v>483</v>
      </c>
      <c r="C54" s="4" t="s">
        <v>58</v>
      </c>
      <c r="D54" s="132" t="s">
        <v>9</v>
      </c>
      <c r="E54" s="1" t="s">
        <v>1455</v>
      </c>
      <c r="J54" s="43">
        <v>-1.69</v>
      </c>
      <c r="K54" s="43">
        <f t="shared" si="0"/>
        <v>-1.69</v>
      </c>
      <c r="L54" s="43">
        <f t="shared" si="1"/>
        <v>10689.229999999998</v>
      </c>
      <c r="M54" s="18" t="s">
        <v>572</v>
      </c>
    </row>
    <row r="55" spans="1:21" x14ac:dyDescent="0.3">
      <c r="A55" s="28"/>
      <c r="B55" s="105" t="s">
        <v>483</v>
      </c>
      <c r="C55" s="4" t="s">
        <v>58</v>
      </c>
      <c r="D55" s="132" t="s">
        <v>9</v>
      </c>
      <c r="E55" s="1" t="s">
        <v>1447</v>
      </c>
      <c r="J55" s="42">
        <v>-99.59</v>
      </c>
      <c r="K55" s="43">
        <f t="shared" si="0"/>
        <v>-99.59</v>
      </c>
      <c r="L55" s="43">
        <f t="shared" si="1"/>
        <v>10589.639999999998</v>
      </c>
      <c r="M55" s="18" t="s">
        <v>90</v>
      </c>
      <c r="O55" s="30" t="s">
        <v>1519</v>
      </c>
      <c r="Q55" s="15"/>
      <c r="U55" s="23"/>
    </row>
    <row r="56" spans="1:21" x14ac:dyDescent="0.3">
      <c r="A56" s="28"/>
      <c r="B56" s="105" t="s">
        <v>483</v>
      </c>
      <c r="C56" s="4" t="s">
        <v>447</v>
      </c>
      <c r="D56" s="133" t="s">
        <v>512</v>
      </c>
      <c r="E56" s="120"/>
      <c r="F56" s="27"/>
      <c r="G56" s="33"/>
      <c r="H56" s="42">
        <v>100</v>
      </c>
      <c r="I56" s="171"/>
      <c r="J56" s="42"/>
      <c r="K56" s="43">
        <f t="shared" si="0"/>
        <v>100</v>
      </c>
      <c r="L56" s="43">
        <f t="shared" si="1"/>
        <v>10689.639999999998</v>
      </c>
      <c r="M56" s="18" t="s">
        <v>90</v>
      </c>
      <c r="O56" t="s">
        <v>584</v>
      </c>
      <c r="Q56" s="15"/>
      <c r="S56" s="15">
        <f>11417.21</f>
        <v>11417.21</v>
      </c>
    </row>
    <row r="57" spans="1:21" x14ac:dyDescent="0.3">
      <c r="A57" s="28"/>
      <c r="B57" s="105" t="s">
        <v>483</v>
      </c>
      <c r="C57" s="4" t="s">
        <v>299</v>
      </c>
      <c r="D57" s="133" t="s">
        <v>301</v>
      </c>
      <c r="E57" s="213"/>
      <c r="F57" s="213"/>
      <c r="G57" s="214"/>
      <c r="H57" s="215"/>
      <c r="I57" s="215"/>
      <c r="J57" s="232">
        <v>-44.94</v>
      </c>
      <c r="K57" s="43">
        <f t="shared" si="0"/>
        <v>-44.94</v>
      </c>
      <c r="L57" s="43">
        <f t="shared" si="1"/>
        <v>10644.699999999997</v>
      </c>
      <c r="M57" s="18" t="s">
        <v>90</v>
      </c>
      <c r="O57" t="s">
        <v>608</v>
      </c>
      <c r="Q57" s="15"/>
      <c r="R57" s="43"/>
    </row>
    <row r="58" spans="1:21" x14ac:dyDescent="0.3">
      <c r="A58" s="28"/>
      <c r="B58" s="105" t="s">
        <v>483</v>
      </c>
      <c r="C58" s="4" t="s">
        <v>607</v>
      </c>
      <c r="D58" s="133" t="s">
        <v>11</v>
      </c>
      <c r="E58" s="213"/>
      <c r="F58" s="213"/>
      <c r="G58" s="214"/>
      <c r="H58" s="215"/>
      <c r="I58" s="215"/>
      <c r="J58" s="232">
        <v>-46.45</v>
      </c>
      <c r="K58" s="43">
        <f t="shared" si="0"/>
        <v>-46.45</v>
      </c>
      <c r="L58" s="43">
        <f t="shared" si="1"/>
        <v>10598.249999999996</v>
      </c>
      <c r="M58" s="18" t="s">
        <v>90</v>
      </c>
      <c r="O58"/>
      <c r="Q58" s="15"/>
      <c r="R58" s="43"/>
      <c r="S58" s="11"/>
      <c r="T58"/>
    </row>
    <row r="59" spans="1:21" x14ac:dyDescent="0.3">
      <c r="B59" s="105" t="s">
        <v>483</v>
      </c>
      <c r="C59" s="214" t="s">
        <v>1109</v>
      </c>
      <c r="D59" s="133" t="s">
        <v>12</v>
      </c>
      <c r="E59" s="213"/>
      <c r="F59" s="215"/>
      <c r="G59" s="214"/>
      <c r="H59" s="215"/>
      <c r="I59" s="215"/>
      <c r="J59" s="232">
        <v>-32.659999999999997</v>
      </c>
      <c r="K59" s="43">
        <f t="shared" si="0"/>
        <v>-32.659999999999997</v>
      </c>
      <c r="L59" s="43">
        <f t="shared" si="1"/>
        <v>10565.589999999997</v>
      </c>
      <c r="M59" s="18" t="s">
        <v>90</v>
      </c>
      <c r="O59" t="s">
        <v>586</v>
      </c>
      <c r="Q59" s="15"/>
      <c r="R59" s="43"/>
      <c r="S59" s="11"/>
      <c r="T59"/>
    </row>
    <row r="60" spans="1:21" x14ac:dyDescent="0.3">
      <c r="B60" s="105" t="s">
        <v>483</v>
      </c>
      <c r="C60" s="4" t="s">
        <v>48</v>
      </c>
      <c r="D60" s="133" t="s">
        <v>12</v>
      </c>
      <c r="E60" s="213"/>
      <c r="F60" s="215"/>
      <c r="G60" s="214"/>
      <c r="H60" s="215"/>
      <c r="I60" s="215"/>
      <c r="J60" s="232">
        <v>-87.54</v>
      </c>
      <c r="K60" s="43">
        <f t="shared" si="0"/>
        <v>-87.54</v>
      </c>
      <c r="L60" s="43">
        <f t="shared" si="1"/>
        <v>10478.049999999996</v>
      </c>
      <c r="M60" s="18" t="s">
        <v>90</v>
      </c>
      <c r="O60" s="4" t="s">
        <v>97</v>
      </c>
      <c r="P60" s="244"/>
      <c r="Q60" s="4">
        <v>-1440</v>
      </c>
      <c r="R60" s="11"/>
      <c r="S60" t="s">
        <v>572</v>
      </c>
      <c r="T60"/>
    </row>
    <row r="61" spans="1:21" x14ac:dyDescent="0.3">
      <c r="B61" s="105" t="s">
        <v>483</v>
      </c>
      <c r="C61" s="1" t="s">
        <v>1271</v>
      </c>
      <c r="D61" s="133" t="s">
        <v>12</v>
      </c>
      <c r="E61" s="168" t="s">
        <v>747</v>
      </c>
      <c r="F61" s="27"/>
      <c r="G61" s="33"/>
      <c r="H61" s="42"/>
      <c r="I61" s="42"/>
      <c r="J61" s="42">
        <v>-208.8</v>
      </c>
      <c r="K61" s="43">
        <f t="shared" si="0"/>
        <v>-208.8</v>
      </c>
      <c r="L61" s="43">
        <f t="shared" si="1"/>
        <v>10269.249999999996</v>
      </c>
      <c r="O61" t="s">
        <v>1100</v>
      </c>
      <c r="Q61" s="15">
        <v>-208.8</v>
      </c>
      <c r="R61" s="11"/>
      <c r="S61" t="s">
        <v>1366</v>
      </c>
    </row>
    <row r="62" spans="1:21" x14ac:dyDescent="0.3">
      <c r="A62" s="12"/>
      <c r="B62" s="105" t="s">
        <v>483</v>
      </c>
      <c r="C62" s="4" t="s">
        <v>58</v>
      </c>
      <c r="D62" s="132" t="s">
        <v>8</v>
      </c>
      <c r="E62" s="269"/>
      <c r="F62" s="240"/>
      <c r="G62" s="264"/>
      <c r="H62" s="240"/>
      <c r="I62" s="240"/>
      <c r="J62" s="271">
        <v>-547.29</v>
      </c>
      <c r="K62" s="43">
        <f t="shared" si="0"/>
        <v>-547.29</v>
      </c>
      <c r="L62" s="75">
        <f t="shared" si="1"/>
        <v>9721.9599999999955</v>
      </c>
      <c r="M62" s="18" t="s">
        <v>90</v>
      </c>
      <c r="O62" t="s">
        <v>1547</v>
      </c>
      <c r="P62"/>
      <c r="Q62">
        <v>-46.45</v>
      </c>
      <c r="R62" s="4"/>
      <c r="S62"/>
    </row>
    <row r="63" spans="1:21" x14ac:dyDescent="0.3">
      <c r="A63" s="12"/>
      <c r="B63" s="105"/>
      <c r="C63" s="4"/>
      <c r="D63" s="133"/>
      <c r="E63" s="120"/>
      <c r="F63" s="27"/>
      <c r="G63" s="33"/>
      <c r="H63" s="42"/>
      <c r="I63" s="171"/>
      <c r="J63" s="42"/>
      <c r="K63" s="43">
        <f t="shared" si="0"/>
        <v>0</v>
      </c>
      <c r="L63" s="43">
        <f t="shared" si="1"/>
        <v>9721.9599999999955</v>
      </c>
      <c r="O63" s="15"/>
      <c r="Q63" s="15"/>
      <c r="R63" s="43"/>
      <c r="S63" s="57">
        <f>SUM(Q60:Q66)</f>
        <v>-1695.25</v>
      </c>
    </row>
    <row r="64" spans="1:21" x14ac:dyDescent="0.3">
      <c r="A64" s="28" t="s">
        <v>79</v>
      </c>
      <c r="B64" s="105"/>
      <c r="C64" s="4"/>
      <c r="D64" s="112"/>
      <c r="E64" s="120"/>
      <c r="F64" s="27"/>
      <c r="G64" s="33"/>
      <c r="H64" s="42"/>
      <c r="I64" s="171"/>
      <c r="J64" s="42"/>
      <c r="K64" s="43">
        <f t="shared" si="0"/>
        <v>0</v>
      </c>
      <c r="L64" s="43">
        <f t="shared" si="1"/>
        <v>9721.9599999999955</v>
      </c>
      <c r="O64" s="15"/>
      <c r="Q64" s="15"/>
    </row>
    <row r="65" spans="1:21" x14ac:dyDescent="0.3">
      <c r="A65" s="12"/>
      <c r="B65" s="105" t="s">
        <v>484</v>
      </c>
      <c r="C65" s="4" t="s">
        <v>58</v>
      </c>
      <c r="D65" s="132" t="s">
        <v>9</v>
      </c>
      <c r="E65" s="1"/>
      <c r="J65" s="42">
        <v>-95.71</v>
      </c>
      <c r="K65" s="43">
        <f t="shared" si="0"/>
        <v>-95.71</v>
      </c>
      <c r="L65" s="43">
        <f t="shared" si="1"/>
        <v>9626.2499999999964</v>
      </c>
      <c r="M65" s="18" t="s">
        <v>90</v>
      </c>
      <c r="O65" t="s">
        <v>652</v>
      </c>
      <c r="Q65" s="15"/>
      <c r="S65" s="74">
        <f>SUM(S56:S63)</f>
        <v>9721.9599999999991</v>
      </c>
      <c r="T65" t="s">
        <v>588</v>
      </c>
    </row>
    <row r="66" spans="1:21" x14ac:dyDescent="0.3">
      <c r="B66" s="105" t="s">
        <v>484</v>
      </c>
      <c r="C66" s="4" t="s">
        <v>58</v>
      </c>
      <c r="D66" s="133" t="s">
        <v>8</v>
      </c>
      <c r="E66" s="120"/>
      <c r="F66" s="27"/>
      <c r="G66" s="33"/>
      <c r="H66" s="42"/>
      <c r="I66" s="171"/>
      <c r="J66" s="42">
        <v>-512.87</v>
      </c>
      <c r="K66" s="43">
        <f t="shared" si="0"/>
        <v>-512.87</v>
      </c>
      <c r="L66" s="43">
        <f t="shared" si="1"/>
        <v>9113.3799999999956</v>
      </c>
      <c r="M66" s="18" t="s">
        <v>90</v>
      </c>
      <c r="P66"/>
    </row>
    <row r="67" spans="1:21" x14ac:dyDescent="0.3">
      <c r="A67" s="53"/>
      <c r="B67" s="105" t="s">
        <v>484</v>
      </c>
      <c r="C67" s="4" t="s">
        <v>299</v>
      </c>
      <c r="D67" s="133" t="s">
        <v>301</v>
      </c>
      <c r="E67" s="213"/>
      <c r="F67" s="213"/>
      <c r="G67" s="214"/>
      <c r="H67" s="215"/>
      <c r="I67" s="215"/>
      <c r="J67" s="232">
        <v>-44.94</v>
      </c>
      <c r="K67" s="43">
        <f t="shared" si="0"/>
        <v>-44.94</v>
      </c>
      <c r="L67" s="43">
        <f t="shared" si="1"/>
        <v>9068.4399999999951</v>
      </c>
      <c r="M67" s="18" t="s">
        <v>90</v>
      </c>
      <c r="O67" s="30" t="s">
        <v>1530</v>
      </c>
      <c r="Q67" s="15"/>
    </row>
    <row r="68" spans="1:21" x14ac:dyDescent="0.3">
      <c r="A68" s="53"/>
      <c r="B68" s="105" t="s">
        <v>484</v>
      </c>
      <c r="C68" s="4" t="s">
        <v>607</v>
      </c>
      <c r="D68" s="133" t="s">
        <v>11</v>
      </c>
      <c r="E68" s="213"/>
      <c r="F68" s="213"/>
      <c r="G68" s="214"/>
      <c r="H68" s="215"/>
      <c r="I68" s="215"/>
      <c r="J68" s="232">
        <v>-46.45</v>
      </c>
      <c r="K68" s="43">
        <f t="shared" si="0"/>
        <v>-46.45</v>
      </c>
      <c r="L68" s="43">
        <f t="shared" si="1"/>
        <v>9021.9899999999943</v>
      </c>
      <c r="M68" s="18" t="s">
        <v>90</v>
      </c>
      <c r="N68"/>
      <c r="O68" s="15"/>
      <c r="Q68" s="15"/>
    </row>
    <row r="69" spans="1:21" x14ac:dyDescent="0.3">
      <c r="B69" s="105" t="s">
        <v>484</v>
      </c>
      <c r="C69" s="214" t="s">
        <v>1109</v>
      </c>
      <c r="D69" s="133" t="s">
        <v>12</v>
      </c>
      <c r="E69" s="213"/>
      <c r="F69" s="215"/>
      <c r="G69" s="214"/>
      <c r="H69" s="215"/>
      <c r="I69" s="215"/>
      <c r="J69" s="232">
        <v>-32.659999999999997</v>
      </c>
      <c r="K69" s="43">
        <f t="shared" si="0"/>
        <v>-32.659999999999997</v>
      </c>
      <c r="L69" s="43">
        <f t="shared" si="1"/>
        <v>8989.3299999999945</v>
      </c>
      <c r="M69" s="18" t="s">
        <v>90</v>
      </c>
      <c r="N69"/>
      <c r="O69" t="s">
        <v>584</v>
      </c>
      <c r="Q69" s="15"/>
      <c r="S69" s="15">
        <f>9193.21</f>
        <v>9193.2099999999991</v>
      </c>
      <c r="U69"/>
    </row>
    <row r="70" spans="1:21" x14ac:dyDescent="0.3">
      <c r="B70" s="105" t="s">
        <v>484</v>
      </c>
      <c r="C70" s="4" t="s">
        <v>48</v>
      </c>
      <c r="D70" s="133" t="s">
        <v>12</v>
      </c>
      <c r="E70" s="213"/>
      <c r="F70" s="215"/>
      <c r="G70" s="214"/>
      <c r="H70" s="215"/>
      <c r="I70" s="215"/>
      <c r="J70" s="232">
        <v>-85.52</v>
      </c>
      <c r="K70" s="43">
        <f t="shared" si="0"/>
        <v>-85.52</v>
      </c>
      <c r="L70" s="43">
        <f t="shared" si="1"/>
        <v>8903.809999999994</v>
      </c>
      <c r="M70" s="18" t="s">
        <v>90</v>
      </c>
      <c r="N70"/>
    </row>
    <row r="71" spans="1:21" x14ac:dyDescent="0.3">
      <c r="B71" s="105" t="s">
        <v>484</v>
      </c>
      <c r="C71" s="1" t="s">
        <v>1271</v>
      </c>
      <c r="D71" s="133" t="s">
        <v>12</v>
      </c>
      <c r="E71" s="168" t="s">
        <v>1533</v>
      </c>
      <c r="F71" s="27"/>
      <c r="G71" s="33"/>
      <c r="H71" s="42"/>
      <c r="I71" s="42"/>
      <c r="J71" s="42">
        <v>-156.6</v>
      </c>
      <c r="K71" s="43">
        <f t="shared" si="0"/>
        <v>-156.6</v>
      </c>
      <c r="L71" s="43">
        <f t="shared" si="1"/>
        <v>8747.2099999999937</v>
      </c>
      <c r="M71" s="18" t="s">
        <v>1554</v>
      </c>
      <c r="O71"/>
      <c r="Q71" s="15"/>
      <c r="R71" s="43"/>
    </row>
    <row r="72" spans="1:21" x14ac:dyDescent="0.3">
      <c r="A72" s="12"/>
      <c r="B72" s="105" t="s">
        <v>484</v>
      </c>
      <c r="C72" s="4" t="s">
        <v>97</v>
      </c>
      <c r="D72" s="132" t="s">
        <v>10</v>
      </c>
      <c r="E72" s="168" t="s">
        <v>1521</v>
      </c>
      <c r="F72" s="52"/>
      <c r="G72" s="33"/>
      <c r="H72" s="42"/>
      <c r="I72" s="42"/>
      <c r="J72" s="42">
        <v>-1461.1</v>
      </c>
      <c r="K72" s="43">
        <f t="shared" ref="K72:K78" si="2">H72+J72</f>
        <v>-1461.1</v>
      </c>
      <c r="L72" s="43">
        <f t="shared" si="1"/>
        <v>7286.1099999999933</v>
      </c>
      <c r="M72" s="18" t="s">
        <v>90</v>
      </c>
      <c r="N72" s="23"/>
      <c r="O72" t="s">
        <v>586</v>
      </c>
      <c r="Q72" s="15"/>
      <c r="R72" s="43"/>
    </row>
    <row r="73" spans="1:21" x14ac:dyDescent="0.3">
      <c r="A73" s="12"/>
      <c r="B73" s="105" t="s">
        <v>484</v>
      </c>
      <c r="C73" s="4" t="s">
        <v>97</v>
      </c>
      <c r="D73" s="132" t="s">
        <v>10</v>
      </c>
      <c r="E73" s="120" t="s">
        <v>1520</v>
      </c>
      <c r="F73" s="27"/>
      <c r="G73" s="33"/>
      <c r="H73" s="42"/>
      <c r="I73" s="42"/>
      <c r="J73" s="42">
        <v>1440</v>
      </c>
      <c r="K73" s="43">
        <f t="shared" si="2"/>
        <v>1440</v>
      </c>
      <c r="L73" s="43">
        <f t="shared" si="1"/>
        <v>8726.1099999999933</v>
      </c>
      <c r="M73" s="18" t="s">
        <v>572</v>
      </c>
      <c r="O73" t="s">
        <v>1531</v>
      </c>
      <c r="P73"/>
      <c r="Q73">
        <v>-1096</v>
      </c>
      <c r="R73" s="4"/>
      <c r="S73" s="57"/>
      <c r="T73"/>
    </row>
    <row r="74" spans="1:21" x14ac:dyDescent="0.3">
      <c r="B74" s="105" t="s">
        <v>484</v>
      </c>
      <c r="C74" s="4" t="s">
        <v>97</v>
      </c>
      <c r="D74" s="132" t="s">
        <v>10</v>
      </c>
      <c r="E74" s="120" t="s">
        <v>1522</v>
      </c>
      <c r="F74" s="27"/>
      <c r="G74" s="120"/>
      <c r="H74" s="42"/>
      <c r="I74" s="42"/>
      <c r="J74" s="42">
        <v>-1096</v>
      </c>
      <c r="K74" s="43">
        <f t="shared" si="2"/>
        <v>-1096</v>
      </c>
      <c r="L74" s="43">
        <f t="shared" si="1"/>
        <v>7630.1099999999933</v>
      </c>
      <c r="R74" s="4"/>
      <c r="S74" s="57"/>
      <c r="T74"/>
    </row>
    <row r="75" spans="1:21" x14ac:dyDescent="0.3">
      <c r="A75" s="12"/>
      <c r="B75" s="105" t="s">
        <v>484</v>
      </c>
      <c r="C75" s="4" t="s">
        <v>141</v>
      </c>
      <c r="D75" s="132" t="s">
        <v>513</v>
      </c>
      <c r="E75" s="120"/>
      <c r="F75" s="27"/>
      <c r="G75" s="120"/>
      <c r="H75" s="321">
        <v>682.5</v>
      </c>
      <c r="I75" s="42"/>
      <c r="J75" s="42"/>
      <c r="K75" s="43">
        <f t="shared" si="2"/>
        <v>682.5</v>
      </c>
      <c r="L75" s="43">
        <f t="shared" si="1"/>
        <v>8312.6099999999933</v>
      </c>
      <c r="M75" s="18" t="s">
        <v>90</v>
      </c>
      <c r="O75" t="s">
        <v>1100</v>
      </c>
      <c r="P75"/>
      <c r="Q75">
        <v>-156.6</v>
      </c>
      <c r="R75" s="4" t="s">
        <v>90</v>
      </c>
    </row>
    <row r="76" spans="1:21" x14ac:dyDescent="0.3">
      <c r="A76" s="12"/>
      <c r="B76" s="105" t="s">
        <v>484</v>
      </c>
      <c r="C76" s="4" t="s">
        <v>1528</v>
      </c>
      <c r="D76" s="133" t="s">
        <v>86</v>
      </c>
      <c r="E76" s="120" t="s">
        <v>1529</v>
      </c>
      <c r="F76" s="27"/>
      <c r="G76" s="33"/>
      <c r="H76" s="42"/>
      <c r="I76" s="42"/>
      <c r="J76" s="42">
        <v>-100</v>
      </c>
      <c r="K76" s="43">
        <f t="shared" si="2"/>
        <v>-100</v>
      </c>
      <c r="L76" s="43">
        <f t="shared" si="1"/>
        <v>8212.6099999999933</v>
      </c>
      <c r="M76" s="18" t="s">
        <v>90</v>
      </c>
      <c r="O76" t="s">
        <v>1546</v>
      </c>
      <c r="P76"/>
      <c r="Q76">
        <v>-90</v>
      </c>
      <c r="R76" s="4" t="s">
        <v>90</v>
      </c>
      <c r="S76" s="15">
        <f>SUM(Q73:Q76)</f>
        <v>-1342.6</v>
      </c>
    </row>
    <row r="77" spans="1:21" x14ac:dyDescent="0.3">
      <c r="A77" s="12"/>
      <c r="B77" s="105" t="s">
        <v>484</v>
      </c>
      <c r="C77" s="4" t="s">
        <v>87</v>
      </c>
      <c r="D77" s="133" t="s">
        <v>518</v>
      </c>
      <c r="E77" s="120" t="s">
        <v>1532</v>
      </c>
      <c r="F77" s="27"/>
      <c r="G77" s="210"/>
      <c r="H77" s="42"/>
      <c r="I77" s="42"/>
      <c r="J77" s="42">
        <v>-222</v>
      </c>
      <c r="K77" s="43">
        <f t="shared" si="2"/>
        <v>-222</v>
      </c>
      <c r="L77" s="43">
        <f t="shared" si="1"/>
        <v>7990.6099999999933</v>
      </c>
      <c r="M77" s="18" t="s">
        <v>90</v>
      </c>
      <c r="O77"/>
      <c r="P77"/>
      <c r="Q77"/>
      <c r="R77" s="125"/>
    </row>
    <row r="78" spans="1:21" x14ac:dyDescent="0.3">
      <c r="A78" s="12"/>
      <c r="B78" s="105" t="s">
        <v>484</v>
      </c>
      <c r="C78" s="4" t="s">
        <v>1544</v>
      </c>
      <c r="D78" s="133" t="s">
        <v>12</v>
      </c>
      <c r="E78" s="1" t="s">
        <v>1545</v>
      </c>
      <c r="J78" s="43">
        <v>-90</v>
      </c>
      <c r="K78" s="43">
        <f t="shared" si="2"/>
        <v>-90</v>
      </c>
      <c r="L78" s="43">
        <f t="shared" si="1"/>
        <v>7900.6099999999933</v>
      </c>
      <c r="M78" s="18" t="s">
        <v>1554</v>
      </c>
      <c r="O78" t="s">
        <v>652</v>
      </c>
      <c r="Q78" s="15"/>
      <c r="S78" s="23">
        <f>+S69+S76</f>
        <v>7850.6099999999988</v>
      </c>
      <c r="T78" t="s">
        <v>588</v>
      </c>
      <c r="U78"/>
    </row>
    <row r="79" spans="1:21" x14ac:dyDescent="0.3">
      <c r="A79" s="12"/>
      <c r="B79" s="105" t="s">
        <v>484</v>
      </c>
      <c r="C79" s="4" t="s">
        <v>232</v>
      </c>
      <c r="D79" s="132" t="s">
        <v>13</v>
      </c>
      <c r="E79" s="120"/>
      <c r="F79" s="27"/>
      <c r="G79" s="210" t="s">
        <v>233</v>
      </c>
      <c r="H79" s="42"/>
      <c r="I79" s="42"/>
      <c r="J79" s="42">
        <v>-50</v>
      </c>
      <c r="K79" s="43">
        <f t="shared" si="0"/>
        <v>-50</v>
      </c>
      <c r="L79" s="75">
        <f t="shared" si="1"/>
        <v>7850.6099999999933</v>
      </c>
      <c r="M79" s="18" t="s">
        <v>90</v>
      </c>
      <c r="O79" s="15"/>
      <c r="Q79" s="15"/>
    </row>
    <row r="80" spans="1:21" x14ac:dyDescent="0.3">
      <c r="A80" s="12"/>
      <c r="B80" s="105"/>
      <c r="C80" s="4"/>
      <c r="D80" s="112"/>
      <c r="E80" s="120"/>
      <c r="F80" s="27"/>
      <c r="G80" s="33"/>
      <c r="H80" s="42"/>
      <c r="I80" s="42"/>
      <c r="J80" s="42"/>
      <c r="K80" s="43">
        <f t="shared" si="0"/>
        <v>0</v>
      </c>
      <c r="L80" s="43">
        <f t="shared" si="1"/>
        <v>7850.6099999999933</v>
      </c>
      <c r="O80" s="30" t="s">
        <v>1534</v>
      </c>
      <c r="Q80" s="15"/>
    </row>
    <row r="81" spans="1:24" x14ac:dyDescent="0.3">
      <c r="A81" s="28" t="s">
        <v>80</v>
      </c>
      <c r="B81" s="105" t="s">
        <v>485</v>
      </c>
      <c r="C81" s="4" t="s">
        <v>58</v>
      </c>
      <c r="D81" s="132" t="s">
        <v>9</v>
      </c>
      <c r="E81" s="1" t="s">
        <v>746</v>
      </c>
      <c r="J81" s="42">
        <v>-214.73</v>
      </c>
      <c r="K81" s="43">
        <f t="shared" si="0"/>
        <v>-214.73</v>
      </c>
      <c r="L81" s="43">
        <f t="shared" si="1"/>
        <v>7635.8799999999937</v>
      </c>
      <c r="M81" s="18" t="s">
        <v>90</v>
      </c>
      <c r="N81"/>
      <c r="O81" s="15"/>
      <c r="Q81" s="15"/>
    </row>
    <row r="82" spans="1:24" x14ac:dyDescent="0.3">
      <c r="A82" s="12"/>
      <c r="B82" s="105" t="s">
        <v>485</v>
      </c>
      <c r="C82" s="4" t="s">
        <v>58</v>
      </c>
      <c r="D82" s="133" t="s">
        <v>8</v>
      </c>
      <c r="E82" s="120"/>
      <c r="F82" s="27"/>
      <c r="G82" s="33"/>
      <c r="H82" s="42"/>
      <c r="I82" s="171"/>
      <c r="J82" s="42">
        <v>-382.37</v>
      </c>
      <c r="K82" s="43">
        <f t="shared" si="0"/>
        <v>-382.37</v>
      </c>
      <c r="L82" s="43">
        <f t="shared" si="1"/>
        <v>7253.5099999999939</v>
      </c>
      <c r="M82" s="18" t="s">
        <v>90</v>
      </c>
      <c r="O82" t="s">
        <v>584</v>
      </c>
      <c r="Q82" s="15"/>
      <c r="S82" s="15">
        <f>10955.2</f>
        <v>10955.2</v>
      </c>
    </row>
    <row r="83" spans="1:24" x14ac:dyDescent="0.3">
      <c r="A83" s="12"/>
      <c r="B83" s="105" t="s">
        <v>485</v>
      </c>
      <c r="C83" s="4" t="s">
        <v>299</v>
      </c>
      <c r="D83" s="133" t="s">
        <v>301</v>
      </c>
      <c r="E83" s="213"/>
      <c r="F83" s="213"/>
      <c r="G83" s="214"/>
      <c r="H83" s="215"/>
      <c r="I83" s="215"/>
      <c r="J83" s="232">
        <v>-44.94</v>
      </c>
      <c r="K83" s="43">
        <f t="shared" si="0"/>
        <v>-44.94</v>
      </c>
      <c r="L83" s="43">
        <f t="shared" si="1"/>
        <v>7208.5699999999943</v>
      </c>
      <c r="M83" s="18" t="s">
        <v>90</v>
      </c>
      <c r="O83" s="15"/>
      <c r="Q83" s="15"/>
    </row>
    <row r="84" spans="1:24" x14ac:dyDescent="0.3">
      <c r="A84" s="12"/>
      <c r="B84" s="105" t="s">
        <v>485</v>
      </c>
      <c r="C84" s="4" t="s">
        <v>607</v>
      </c>
      <c r="D84" s="133" t="s">
        <v>11</v>
      </c>
      <c r="E84" s="213"/>
      <c r="F84" s="213"/>
      <c r="G84" s="214"/>
      <c r="H84" s="215"/>
      <c r="I84" s="215"/>
      <c r="J84" s="232">
        <v>-46.45</v>
      </c>
      <c r="K84" s="43">
        <f t="shared" si="0"/>
        <v>-46.45</v>
      </c>
      <c r="L84" s="43">
        <f t="shared" si="1"/>
        <v>7162.1199999999944</v>
      </c>
      <c r="M84" s="18" t="s">
        <v>90</v>
      </c>
      <c r="O84" t="s">
        <v>586</v>
      </c>
      <c r="Q84" s="15"/>
      <c r="R84" s="43"/>
    </row>
    <row r="85" spans="1:24" x14ac:dyDescent="0.3">
      <c r="A85" s="12"/>
      <c r="B85" s="105" t="s">
        <v>485</v>
      </c>
      <c r="C85" s="214" t="s">
        <v>1109</v>
      </c>
      <c r="D85" s="133" t="s">
        <v>12</v>
      </c>
      <c r="E85" s="213"/>
      <c r="F85" s="215"/>
      <c r="G85" s="214"/>
      <c r="H85" s="215"/>
      <c r="I85" s="215"/>
      <c r="J85" s="232">
        <v>-49</v>
      </c>
      <c r="K85" s="43">
        <f t="shared" si="0"/>
        <v>-49</v>
      </c>
      <c r="L85" s="43">
        <f t="shared" si="1"/>
        <v>7113.1199999999944</v>
      </c>
      <c r="M85" s="18" t="s">
        <v>90</v>
      </c>
      <c r="O85" t="s">
        <v>1531</v>
      </c>
      <c r="P85"/>
      <c r="Q85"/>
      <c r="R85" s="4">
        <v>-1096</v>
      </c>
      <c r="S85" s="57"/>
    </row>
    <row r="86" spans="1:24" x14ac:dyDescent="0.3">
      <c r="A86" s="12"/>
      <c r="B86" s="105" t="s">
        <v>485</v>
      </c>
      <c r="C86" s="4" t="s">
        <v>48</v>
      </c>
      <c r="D86" s="133" t="s">
        <v>12</v>
      </c>
      <c r="E86" s="213"/>
      <c r="F86" s="215"/>
      <c r="G86" s="214"/>
      <c r="H86" s="215"/>
      <c r="I86" s="215"/>
      <c r="J86" s="232">
        <v>-72.42</v>
      </c>
      <c r="K86" s="43">
        <f t="shared" si="0"/>
        <v>-72.42</v>
      </c>
      <c r="L86" s="43">
        <f t="shared" si="1"/>
        <v>7040.6999999999944</v>
      </c>
      <c r="M86" s="18" t="s">
        <v>90</v>
      </c>
      <c r="O86"/>
      <c r="P86"/>
      <c r="Q86"/>
      <c r="R86" s="4"/>
      <c r="S86" s="57"/>
    </row>
    <row r="87" spans="1:24" x14ac:dyDescent="0.3">
      <c r="A87" s="12"/>
      <c r="B87" s="105" t="s">
        <v>485</v>
      </c>
      <c r="C87" s="4" t="s">
        <v>1544</v>
      </c>
      <c r="D87" s="133" t="s">
        <v>12</v>
      </c>
      <c r="E87" s="1" t="s">
        <v>745</v>
      </c>
      <c r="J87" s="43">
        <v>-211.5</v>
      </c>
      <c r="K87" s="43">
        <f t="shared" si="0"/>
        <v>-211.5</v>
      </c>
      <c r="L87" s="43">
        <f t="shared" si="1"/>
        <v>6829.1999999999944</v>
      </c>
      <c r="M87" s="18" t="s">
        <v>90</v>
      </c>
      <c r="O87"/>
      <c r="P87"/>
      <c r="Q87"/>
      <c r="R87" s="4"/>
    </row>
    <row r="88" spans="1:24" x14ac:dyDescent="0.3">
      <c r="A88" s="12"/>
      <c r="B88" s="105" t="s">
        <v>485</v>
      </c>
      <c r="C88" s="4" t="s">
        <v>1235</v>
      </c>
      <c r="D88" s="133" t="s">
        <v>512</v>
      </c>
      <c r="E88" s="120" t="s">
        <v>1501</v>
      </c>
      <c r="F88" s="27"/>
      <c r="G88" s="33"/>
      <c r="H88" s="42"/>
      <c r="I88" s="42"/>
      <c r="J88" s="42">
        <v>-50</v>
      </c>
      <c r="K88" s="43">
        <f t="shared" si="0"/>
        <v>-50</v>
      </c>
      <c r="L88" s="43">
        <f t="shared" si="1"/>
        <v>6779.1999999999944</v>
      </c>
      <c r="M88" s="18" t="s">
        <v>90</v>
      </c>
      <c r="O88"/>
      <c r="P88"/>
      <c r="Q88"/>
      <c r="R88" s="4"/>
    </row>
    <row r="89" spans="1:24" x14ac:dyDescent="0.3">
      <c r="A89" s="12"/>
      <c r="B89" s="105" t="s">
        <v>485</v>
      </c>
      <c r="C89" s="4" t="s">
        <v>1548</v>
      </c>
      <c r="D89" s="133" t="s">
        <v>512</v>
      </c>
      <c r="E89" s="120" t="s">
        <v>1549</v>
      </c>
      <c r="F89" s="27"/>
      <c r="G89" s="168"/>
      <c r="H89" s="42">
        <v>40</v>
      </c>
      <c r="I89" s="42"/>
      <c r="J89" s="42"/>
      <c r="K89" s="43">
        <f t="shared" si="0"/>
        <v>40</v>
      </c>
      <c r="L89" s="43">
        <f t="shared" si="1"/>
        <v>6819.1999999999944</v>
      </c>
      <c r="M89" s="18" t="s">
        <v>90</v>
      </c>
      <c r="O89"/>
      <c r="P89"/>
      <c r="Q89"/>
      <c r="R89" s="125"/>
    </row>
    <row r="90" spans="1:24" x14ac:dyDescent="0.3">
      <c r="A90" s="28"/>
      <c r="B90" s="105" t="s">
        <v>485</v>
      </c>
      <c r="C90" s="4" t="s">
        <v>1550</v>
      </c>
      <c r="D90" s="133" t="s">
        <v>518</v>
      </c>
      <c r="E90" s="120" t="s">
        <v>1551</v>
      </c>
      <c r="F90" s="27"/>
      <c r="G90" s="168"/>
      <c r="H90" s="42"/>
      <c r="I90" s="42"/>
      <c r="J90" s="42">
        <v>-160</v>
      </c>
      <c r="K90" s="43">
        <f t="shared" si="0"/>
        <v>-160</v>
      </c>
      <c r="L90" s="43">
        <f t="shared" si="1"/>
        <v>6659.1999999999944</v>
      </c>
      <c r="M90" s="18" t="s">
        <v>90</v>
      </c>
      <c r="O90" s="15"/>
      <c r="Q90" s="15"/>
      <c r="R90" s="43"/>
      <c r="S90" s="11">
        <f>SUM(R85:R90)</f>
        <v>-1096</v>
      </c>
    </row>
    <row r="91" spans="1:24" x14ac:dyDescent="0.3">
      <c r="A91" s="12"/>
      <c r="B91" s="105" t="s">
        <v>485</v>
      </c>
      <c r="C91" s="4" t="s">
        <v>174</v>
      </c>
      <c r="D91" s="132" t="s">
        <v>513</v>
      </c>
      <c r="E91" s="120" t="s">
        <v>1552</v>
      </c>
      <c r="F91" s="27"/>
      <c r="G91" s="168"/>
      <c r="H91" s="321">
        <v>3320</v>
      </c>
      <c r="I91" s="42"/>
      <c r="J91" s="42"/>
      <c r="K91" s="43">
        <f t="shared" si="0"/>
        <v>3320</v>
      </c>
      <c r="L91" s="43">
        <f t="shared" si="1"/>
        <v>9979.1999999999935</v>
      </c>
      <c r="M91" s="18" t="s">
        <v>90</v>
      </c>
      <c r="O91" s="15"/>
      <c r="Q91" s="15"/>
      <c r="T91"/>
    </row>
    <row r="92" spans="1:24" x14ac:dyDescent="0.3">
      <c r="A92" s="12"/>
      <c r="B92" s="105" t="s">
        <v>485</v>
      </c>
      <c r="C92" s="4" t="s">
        <v>87</v>
      </c>
      <c r="D92" s="133" t="s">
        <v>518</v>
      </c>
      <c r="E92" s="120" t="s">
        <v>1553</v>
      </c>
      <c r="F92" s="27"/>
      <c r="G92" s="33"/>
      <c r="H92" s="42"/>
      <c r="I92" s="42"/>
      <c r="J92" s="42">
        <v>-420</v>
      </c>
      <c r="K92" s="43">
        <f t="shared" si="0"/>
        <v>-420</v>
      </c>
      <c r="L92" s="43">
        <f t="shared" si="1"/>
        <v>9559.1999999999935</v>
      </c>
      <c r="M92" s="254" t="s">
        <v>90</v>
      </c>
      <c r="N92" s="43"/>
      <c r="O92" t="s">
        <v>1215</v>
      </c>
      <c r="Q92" s="15"/>
      <c r="S92" s="74">
        <f>S82+S90</f>
        <v>9859.2000000000007</v>
      </c>
      <c r="T92" t="s">
        <v>588</v>
      </c>
    </row>
    <row r="93" spans="1:24" x14ac:dyDescent="0.3">
      <c r="A93" s="12"/>
      <c r="B93" s="105" t="s">
        <v>485</v>
      </c>
      <c r="C93" s="4"/>
      <c r="D93" s="133"/>
      <c r="E93" s="120"/>
      <c r="F93" s="27"/>
      <c r="G93" s="33"/>
      <c r="H93" s="42"/>
      <c r="I93" s="42"/>
      <c r="J93" s="42"/>
      <c r="K93" s="43">
        <f t="shared" si="0"/>
        <v>0</v>
      </c>
      <c r="L93" s="43">
        <f t="shared" si="1"/>
        <v>9559.1999999999935</v>
      </c>
      <c r="O93" s="15"/>
      <c r="Q93" s="15"/>
    </row>
    <row r="94" spans="1:24" x14ac:dyDescent="0.3">
      <c r="B94" s="105" t="s">
        <v>485</v>
      </c>
      <c r="C94" s="4" t="s">
        <v>1516</v>
      </c>
      <c r="D94" s="133" t="s">
        <v>512</v>
      </c>
      <c r="E94" s="168" t="s">
        <v>1555</v>
      </c>
      <c r="F94" s="27"/>
      <c r="G94" s="33"/>
      <c r="H94" s="42">
        <v>300</v>
      </c>
      <c r="I94" s="171"/>
      <c r="J94" s="42"/>
      <c r="K94" s="43">
        <f t="shared" ref="K94:K132" si="3">H94+J94</f>
        <v>300</v>
      </c>
      <c r="L94" s="75">
        <f t="shared" si="1"/>
        <v>9859.1999999999935</v>
      </c>
      <c r="M94" s="18" t="s">
        <v>90</v>
      </c>
      <c r="O94" s="30" t="s">
        <v>1535</v>
      </c>
      <c r="P94" s="30"/>
      <c r="Q94" s="30"/>
      <c r="R94"/>
      <c r="S94"/>
      <c r="T94"/>
      <c r="X94"/>
    </row>
    <row r="95" spans="1:24" x14ac:dyDescent="0.3">
      <c r="B95" s="105"/>
      <c r="C95" s="4"/>
      <c r="D95" s="133"/>
      <c r="E95" s="269"/>
      <c r="F95" s="269"/>
      <c r="G95" s="264"/>
      <c r="H95" s="240"/>
      <c r="I95" s="240"/>
      <c r="J95" s="270"/>
      <c r="K95" s="43">
        <f t="shared" si="3"/>
        <v>0</v>
      </c>
      <c r="L95" s="43">
        <f t="shared" si="1"/>
        <v>9859.1999999999935</v>
      </c>
      <c r="O95"/>
      <c r="P95"/>
      <c r="Q95"/>
      <c r="R95"/>
      <c r="S95">
        <f>10271.23</f>
        <v>10271.23</v>
      </c>
      <c r="T95"/>
    </row>
    <row r="96" spans="1:24" x14ac:dyDescent="0.3">
      <c r="A96" s="28" t="s">
        <v>694</v>
      </c>
      <c r="B96" s="105" t="s">
        <v>486</v>
      </c>
      <c r="C96" s="4" t="s">
        <v>58</v>
      </c>
      <c r="D96" s="132" t="s">
        <v>9</v>
      </c>
      <c r="E96" s="1" t="s">
        <v>745</v>
      </c>
      <c r="J96" s="42">
        <v>-120.1</v>
      </c>
      <c r="K96" s="43">
        <f t="shared" si="3"/>
        <v>-120.1</v>
      </c>
      <c r="L96" s="43">
        <f t="shared" ref="L96:L114" si="4">L95+K96</f>
        <v>9739.0999999999931</v>
      </c>
      <c r="M96" s="18" t="s">
        <v>90</v>
      </c>
      <c r="O96" t="s">
        <v>584</v>
      </c>
      <c r="P96"/>
      <c r="Q96"/>
      <c r="R96"/>
      <c r="S96"/>
      <c r="T96"/>
    </row>
    <row r="97" spans="1:24" x14ac:dyDescent="0.3">
      <c r="B97" s="105" t="s">
        <v>486</v>
      </c>
      <c r="C97" s="4" t="s">
        <v>58</v>
      </c>
      <c r="D97" s="133" t="s">
        <v>8</v>
      </c>
      <c r="E97" s="120"/>
      <c r="F97" s="27"/>
      <c r="G97" s="33"/>
      <c r="H97" s="42"/>
      <c r="I97" s="171"/>
      <c r="J97" s="42">
        <v>-119.54</v>
      </c>
      <c r="K97" s="43">
        <f t="shared" si="3"/>
        <v>-119.54</v>
      </c>
      <c r="L97" s="43">
        <f t="shared" si="4"/>
        <v>9619.5599999999922</v>
      </c>
      <c r="M97" s="18" t="s">
        <v>90</v>
      </c>
      <c r="N97"/>
      <c r="O97" t="s">
        <v>586</v>
      </c>
      <c r="Q97" s="15"/>
      <c r="R97" s="43"/>
      <c r="S97"/>
      <c r="T97"/>
    </row>
    <row r="98" spans="1:24" x14ac:dyDescent="0.3">
      <c r="A98" s="12"/>
      <c r="B98" s="105" t="s">
        <v>486</v>
      </c>
      <c r="C98" s="4" t="s">
        <v>299</v>
      </c>
      <c r="D98" s="133" t="s">
        <v>301</v>
      </c>
      <c r="E98" s="213"/>
      <c r="F98" s="213"/>
      <c r="G98" s="214"/>
      <c r="H98" s="215"/>
      <c r="I98" s="215"/>
      <c r="J98" s="232">
        <v>-44.94</v>
      </c>
      <c r="K98" s="43">
        <f t="shared" si="3"/>
        <v>-44.94</v>
      </c>
      <c r="L98" s="43">
        <f t="shared" si="4"/>
        <v>9574.6199999999917</v>
      </c>
      <c r="M98" s="16" t="s">
        <v>90</v>
      </c>
      <c r="N98"/>
      <c r="O98" t="s">
        <v>1531</v>
      </c>
      <c r="P98"/>
      <c r="Q98"/>
      <c r="R98" s="4">
        <v>-1096</v>
      </c>
      <c r="S98"/>
      <c r="T98"/>
    </row>
    <row r="99" spans="1:24" x14ac:dyDescent="0.3">
      <c r="B99" s="105" t="s">
        <v>486</v>
      </c>
      <c r="C99" s="4" t="s">
        <v>607</v>
      </c>
      <c r="D99" s="133" t="s">
        <v>11</v>
      </c>
      <c r="E99" s="213"/>
      <c r="F99" s="213"/>
      <c r="G99" s="214"/>
      <c r="H99" s="215"/>
      <c r="I99" s="215"/>
      <c r="J99" s="232">
        <v>-46.45</v>
      </c>
      <c r="K99" s="43">
        <f t="shared" si="3"/>
        <v>-46.45</v>
      </c>
      <c r="L99" s="43">
        <f t="shared" si="4"/>
        <v>9528.169999999991</v>
      </c>
      <c r="M99" s="16"/>
      <c r="N99"/>
      <c r="O99" t="s">
        <v>1559</v>
      </c>
      <c r="P99"/>
      <c r="Q99"/>
      <c r="R99" s="125">
        <v>-46.45</v>
      </c>
      <c r="S99" s="125"/>
      <c r="T99"/>
    </row>
    <row r="100" spans="1:24" x14ac:dyDescent="0.3">
      <c r="A100" s="12"/>
      <c r="B100" s="105" t="s">
        <v>486</v>
      </c>
      <c r="C100" s="214" t="s">
        <v>1109</v>
      </c>
      <c r="D100" s="133" t="s">
        <v>12</v>
      </c>
      <c r="E100" s="213"/>
      <c r="F100" s="215"/>
      <c r="G100" s="214"/>
      <c r="H100" s="215"/>
      <c r="I100" s="215"/>
      <c r="J100" s="232">
        <v>-32.659999999999997</v>
      </c>
      <c r="K100" s="43">
        <f t="shared" si="3"/>
        <v>-32.659999999999997</v>
      </c>
      <c r="L100" s="43">
        <f t="shared" si="4"/>
        <v>9495.5099999999911</v>
      </c>
      <c r="M100" s="16" t="s">
        <v>90</v>
      </c>
      <c r="O100" t="s">
        <v>1560</v>
      </c>
      <c r="Q100" s="15"/>
      <c r="R100" s="4">
        <v>-212.5</v>
      </c>
      <c r="S100" s="125"/>
      <c r="T100" t="s">
        <v>90</v>
      </c>
    </row>
    <row r="101" spans="1:24" x14ac:dyDescent="0.3">
      <c r="A101" s="12"/>
      <c r="B101" s="105" t="s">
        <v>486</v>
      </c>
      <c r="C101" s="4" t="s">
        <v>48</v>
      </c>
      <c r="D101" s="133" t="s">
        <v>12</v>
      </c>
      <c r="E101" s="213"/>
      <c r="F101" s="215"/>
      <c r="G101" s="214"/>
      <c r="H101" s="215"/>
      <c r="I101" s="215"/>
      <c r="J101" s="232">
        <v>-72.42</v>
      </c>
      <c r="K101" s="43">
        <f t="shared" si="3"/>
        <v>-72.42</v>
      </c>
      <c r="L101" s="43">
        <f t="shared" si="4"/>
        <v>9423.0899999999911</v>
      </c>
      <c r="M101" s="16" t="s">
        <v>90</v>
      </c>
      <c r="S101" s="125">
        <f>SUM(R98:R100)</f>
        <v>-1354.95</v>
      </c>
      <c r="T101"/>
    </row>
    <row r="102" spans="1:24" x14ac:dyDescent="0.3">
      <c r="A102" s="12"/>
      <c r="B102" s="105" t="s">
        <v>486</v>
      </c>
      <c r="C102" s="4" t="s">
        <v>1544</v>
      </c>
      <c r="D102" s="133" t="s">
        <v>12</v>
      </c>
      <c r="E102" s="1" t="s">
        <v>486</v>
      </c>
      <c r="J102" s="43">
        <v>-212.5</v>
      </c>
      <c r="K102" s="43">
        <f t="shared" si="3"/>
        <v>-212.5</v>
      </c>
      <c r="L102" s="43">
        <f t="shared" si="4"/>
        <v>9210.5899999999911</v>
      </c>
      <c r="M102" s="16" t="s">
        <v>1577</v>
      </c>
      <c r="T102"/>
    </row>
    <row r="103" spans="1:24" x14ac:dyDescent="0.3">
      <c r="A103" s="12"/>
      <c r="B103" s="105" t="s">
        <v>486</v>
      </c>
      <c r="C103" s="4" t="s">
        <v>1557</v>
      </c>
      <c r="D103" s="132" t="s">
        <v>13</v>
      </c>
      <c r="E103" s="120" t="s">
        <v>1558</v>
      </c>
      <c r="F103" s="27"/>
      <c r="G103" s="120"/>
      <c r="H103" s="42"/>
      <c r="I103" s="42"/>
      <c r="J103" s="221">
        <v>-35</v>
      </c>
      <c r="K103" s="43">
        <f t="shared" si="3"/>
        <v>-35</v>
      </c>
      <c r="L103" s="43">
        <f t="shared" si="4"/>
        <v>9175.5899999999911</v>
      </c>
      <c r="M103" s="16" t="s">
        <v>90</v>
      </c>
      <c r="T103"/>
    </row>
    <row r="104" spans="1:24" x14ac:dyDescent="0.3">
      <c r="A104" s="12"/>
      <c r="B104" s="105" t="s">
        <v>486</v>
      </c>
      <c r="C104" s="4" t="s">
        <v>1561</v>
      </c>
      <c r="D104" s="112" t="s">
        <v>500</v>
      </c>
      <c r="E104" s="121" t="s">
        <v>1293</v>
      </c>
      <c r="F104" s="27"/>
      <c r="G104" s="120"/>
      <c r="H104" s="49">
        <v>150</v>
      </c>
      <c r="I104" s="42"/>
      <c r="J104" s="221"/>
      <c r="K104" s="43">
        <f t="shared" si="3"/>
        <v>150</v>
      </c>
      <c r="L104" s="43">
        <f t="shared" si="4"/>
        <v>9325.5899999999911</v>
      </c>
      <c r="M104" s="18" t="s">
        <v>90</v>
      </c>
      <c r="O104"/>
      <c r="P104"/>
      <c r="Q104" s="15"/>
      <c r="R104" s="43"/>
      <c r="S104" s="4"/>
      <c r="T104"/>
    </row>
    <row r="105" spans="1:24" x14ac:dyDescent="0.3">
      <c r="A105" s="12"/>
      <c r="B105" s="105" t="s">
        <v>486</v>
      </c>
      <c r="C105" s="4" t="s">
        <v>286</v>
      </c>
      <c r="D105" s="133" t="s">
        <v>518</v>
      </c>
      <c r="E105" s="128" t="s">
        <v>1562</v>
      </c>
      <c r="F105" s="27"/>
      <c r="G105" s="33"/>
      <c r="H105" s="42"/>
      <c r="I105" s="42"/>
      <c r="J105" s="221">
        <v>-266.94</v>
      </c>
      <c r="K105" s="43">
        <f t="shared" si="3"/>
        <v>-266.94</v>
      </c>
      <c r="L105" s="43">
        <f t="shared" si="4"/>
        <v>9058.6499999999905</v>
      </c>
      <c r="M105" s="18" t="s">
        <v>90</v>
      </c>
      <c r="N105" s="25"/>
      <c r="O105"/>
      <c r="P105"/>
      <c r="Q105"/>
      <c r="R105"/>
      <c r="S105"/>
      <c r="T105"/>
    </row>
    <row r="106" spans="1:24" x14ac:dyDescent="0.3">
      <c r="A106" s="26"/>
      <c r="B106" s="105" t="s">
        <v>486</v>
      </c>
      <c r="C106" s="4" t="s">
        <v>234</v>
      </c>
      <c r="D106" s="133" t="s">
        <v>12</v>
      </c>
      <c r="E106" s="264"/>
      <c r="F106" s="240"/>
      <c r="G106" s="240"/>
      <c r="H106" s="265"/>
      <c r="I106" s="240"/>
      <c r="J106" s="266">
        <v>-14.37</v>
      </c>
      <c r="K106" s="43">
        <f t="shared" si="3"/>
        <v>-14.37</v>
      </c>
      <c r="L106" s="43">
        <f t="shared" si="4"/>
        <v>9044.2799999999897</v>
      </c>
      <c r="M106" s="18" t="s">
        <v>412</v>
      </c>
      <c r="N106"/>
      <c r="O106" t="s">
        <v>652</v>
      </c>
      <c r="P106"/>
      <c r="Q106"/>
      <c r="R106"/>
      <c r="S106" s="23">
        <f>SUM(S95:S105)</f>
        <v>8916.2799999999988</v>
      </c>
      <c r="T106" t="s">
        <v>588</v>
      </c>
    </row>
    <row r="107" spans="1:24" x14ac:dyDescent="0.3">
      <c r="A107" s="12"/>
      <c r="B107" s="105" t="s">
        <v>486</v>
      </c>
      <c r="C107" s="4" t="s">
        <v>234</v>
      </c>
      <c r="D107" s="116" t="s">
        <v>621</v>
      </c>
      <c r="E107" s="120"/>
      <c r="F107" s="240"/>
      <c r="G107" s="210"/>
      <c r="H107" s="267"/>
      <c r="I107" s="240"/>
      <c r="J107" s="240">
        <v>-50</v>
      </c>
      <c r="K107" s="43">
        <f t="shared" si="3"/>
        <v>-50</v>
      </c>
      <c r="L107" s="43">
        <f t="shared" si="4"/>
        <v>8994.2799999999897</v>
      </c>
      <c r="M107" s="16" t="s">
        <v>412</v>
      </c>
      <c r="N107" s="282"/>
      <c r="O107"/>
      <c r="P107"/>
      <c r="Q107"/>
      <c r="R107"/>
      <c r="S107"/>
      <c r="T107"/>
    </row>
    <row r="108" spans="1:24" x14ac:dyDescent="0.3">
      <c r="A108" s="12"/>
      <c r="B108" s="105" t="s">
        <v>486</v>
      </c>
      <c r="C108" s="213" t="s">
        <v>1563</v>
      </c>
      <c r="D108" s="133" t="s">
        <v>518</v>
      </c>
      <c r="E108" s="120" t="s">
        <v>1564</v>
      </c>
      <c r="F108" s="27"/>
      <c r="G108" s="120"/>
      <c r="H108" s="267"/>
      <c r="I108" s="240"/>
      <c r="J108" s="240">
        <v>-78</v>
      </c>
      <c r="K108" s="43">
        <f t="shared" si="3"/>
        <v>-78</v>
      </c>
      <c r="L108" s="75">
        <f t="shared" si="4"/>
        <v>8916.2799999999897</v>
      </c>
      <c r="M108" s="16" t="s">
        <v>90</v>
      </c>
      <c r="N108" s="136"/>
      <c r="O108" s="134"/>
    </row>
    <row r="109" spans="1:24" x14ac:dyDescent="0.3">
      <c r="A109" s="28" t="s">
        <v>712</v>
      </c>
      <c r="B109" s="105"/>
      <c r="C109" s="213"/>
      <c r="D109" s="112"/>
      <c r="E109" s="120"/>
      <c r="F109" s="27"/>
      <c r="G109" s="120"/>
      <c r="H109" s="42"/>
      <c r="I109" s="42"/>
      <c r="J109" s="221"/>
      <c r="K109" s="43">
        <f t="shared" si="3"/>
        <v>0</v>
      </c>
      <c r="L109" s="43">
        <f t="shared" si="4"/>
        <v>8916.2799999999897</v>
      </c>
    </row>
    <row r="110" spans="1:24" x14ac:dyDescent="0.3">
      <c r="B110" s="106" t="s">
        <v>487</v>
      </c>
      <c r="C110" s="4" t="s">
        <v>58</v>
      </c>
      <c r="D110" s="132" t="s">
        <v>9</v>
      </c>
      <c r="E110" s="1" t="s">
        <v>486</v>
      </c>
      <c r="J110" s="42">
        <v>-100.85</v>
      </c>
      <c r="K110" s="43">
        <f t="shared" si="3"/>
        <v>-100.85</v>
      </c>
      <c r="L110" s="43">
        <f t="shared" si="4"/>
        <v>8815.4299999999894</v>
      </c>
      <c r="M110" s="18" t="s">
        <v>90</v>
      </c>
    </row>
    <row r="111" spans="1:24" x14ac:dyDescent="0.3">
      <c r="B111" s="106" t="s">
        <v>487</v>
      </c>
      <c r="C111" s="4" t="s">
        <v>58</v>
      </c>
      <c r="D111" s="133" t="s">
        <v>8</v>
      </c>
      <c r="E111" s="1" t="s">
        <v>486</v>
      </c>
      <c r="F111" s="27"/>
      <c r="G111" s="33"/>
      <c r="H111" s="42"/>
      <c r="I111" s="171"/>
      <c r="J111" s="42">
        <v>-151.51</v>
      </c>
      <c r="K111" s="43">
        <f t="shared" si="3"/>
        <v>-151.51</v>
      </c>
      <c r="L111" s="43">
        <f t="shared" si="4"/>
        <v>8663.9199999999892</v>
      </c>
      <c r="M111" s="18" t="s">
        <v>90</v>
      </c>
      <c r="N111"/>
      <c r="X111"/>
    </row>
    <row r="112" spans="1:24" x14ac:dyDescent="0.3">
      <c r="B112" s="106" t="s">
        <v>487</v>
      </c>
      <c r="C112" s="4" t="s">
        <v>299</v>
      </c>
      <c r="D112" s="133" t="s">
        <v>301</v>
      </c>
      <c r="E112" s="213"/>
      <c r="F112" s="213"/>
      <c r="G112" s="214"/>
      <c r="H112" s="215"/>
      <c r="I112" s="215"/>
      <c r="J112" s="232">
        <v>-44.94</v>
      </c>
      <c r="K112" s="43">
        <f t="shared" si="3"/>
        <v>-44.94</v>
      </c>
      <c r="L112" s="43">
        <f t="shared" si="4"/>
        <v>8618.9799999999886</v>
      </c>
      <c r="M112" s="18" t="s">
        <v>90</v>
      </c>
      <c r="X112"/>
    </row>
    <row r="113" spans="1:25" x14ac:dyDescent="0.3">
      <c r="B113" s="106" t="s">
        <v>487</v>
      </c>
      <c r="C113" s="4" t="s">
        <v>607</v>
      </c>
      <c r="D113" s="133" t="s">
        <v>11</v>
      </c>
      <c r="E113" s="213"/>
      <c r="F113" s="213"/>
      <c r="G113" s="214"/>
      <c r="H113" s="215"/>
      <c r="I113" s="215"/>
      <c r="J113" s="232">
        <v>-46.45</v>
      </c>
      <c r="K113" s="43">
        <f t="shared" si="3"/>
        <v>-46.45</v>
      </c>
      <c r="L113" s="43">
        <f t="shared" si="4"/>
        <v>8572.5299999999879</v>
      </c>
      <c r="X113"/>
    </row>
    <row r="114" spans="1:25" x14ac:dyDescent="0.3">
      <c r="A114" s="12"/>
      <c r="B114" s="106" t="s">
        <v>487</v>
      </c>
      <c r="C114" s="214" t="s">
        <v>1109</v>
      </c>
      <c r="D114" s="133" t="s">
        <v>12</v>
      </c>
      <c r="E114" s="213"/>
      <c r="F114" s="215"/>
      <c r="G114" s="214"/>
      <c r="H114" s="215"/>
      <c r="I114" s="215"/>
      <c r="J114" s="232">
        <v>-32.659999999999997</v>
      </c>
      <c r="K114" s="43">
        <f t="shared" si="3"/>
        <v>-32.659999999999997</v>
      </c>
      <c r="L114" s="43">
        <f t="shared" si="4"/>
        <v>8539.8699999999881</v>
      </c>
      <c r="M114" s="18" t="s">
        <v>90</v>
      </c>
      <c r="N114" s="18"/>
      <c r="O114" s="30" t="s">
        <v>1536</v>
      </c>
      <c r="P114" s="30"/>
      <c r="Q114" s="30"/>
      <c r="R114"/>
      <c r="S114"/>
      <c r="T114"/>
      <c r="U114"/>
      <c r="X114"/>
    </row>
    <row r="115" spans="1:25" x14ac:dyDescent="0.3">
      <c r="B115" s="106" t="s">
        <v>487</v>
      </c>
      <c r="C115" s="4" t="s">
        <v>48</v>
      </c>
      <c r="D115" s="133" t="s">
        <v>12</v>
      </c>
      <c r="E115" s="213"/>
      <c r="F115" s="215"/>
      <c r="G115" s="214"/>
      <c r="H115" s="215"/>
      <c r="I115" s="215"/>
      <c r="J115" s="232">
        <v>-72.42</v>
      </c>
      <c r="K115" s="43">
        <f t="shared" si="3"/>
        <v>-72.42</v>
      </c>
      <c r="L115" s="43">
        <f t="shared" ref="L115:L179" si="5">L114+K115</f>
        <v>8467.449999999988</v>
      </c>
      <c r="M115" s="16" t="s">
        <v>90</v>
      </c>
      <c r="O115"/>
      <c r="P115"/>
      <c r="Q115"/>
      <c r="R115"/>
      <c r="S115"/>
      <c r="T115"/>
      <c r="U115"/>
      <c r="W115"/>
    </row>
    <row r="116" spans="1:25" x14ac:dyDescent="0.3">
      <c r="A116" s="28"/>
      <c r="B116" s="106" t="s">
        <v>487</v>
      </c>
      <c r="C116" s="4" t="s">
        <v>1544</v>
      </c>
      <c r="D116" s="133" t="s">
        <v>12</v>
      </c>
      <c r="E116" s="1" t="s">
        <v>1565</v>
      </c>
      <c r="J116" s="43">
        <v>-202.5</v>
      </c>
      <c r="K116" s="43">
        <f t="shared" si="3"/>
        <v>-202.5</v>
      </c>
      <c r="L116" s="43">
        <f t="shared" si="5"/>
        <v>8264.949999999988</v>
      </c>
      <c r="M116" s="16" t="s">
        <v>1419</v>
      </c>
      <c r="O116" t="s">
        <v>584</v>
      </c>
      <c r="P116"/>
      <c r="Q116"/>
      <c r="R116"/>
      <c r="S116"/>
      <c r="T116">
        <v>8463.25</v>
      </c>
      <c r="U116"/>
      <c r="W116"/>
    </row>
    <row r="117" spans="1:25" x14ac:dyDescent="0.3">
      <c r="A117" s="12"/>
      <c r="B117" s="106" t="s">
        <v>487</v>
      </c>
      <c r="C117" s="4" t="s">
        <v>1566</v>
      </c>
      <c r="D117" s="112" t="s">
        <v>500</v>
      </c>
      <c r="E117" s="121" t="s">
        <v>147</v>
      </c>
      <c r="F117" s="269"/>
      <c r="G117" s="264"/>
      <c r="H117" s="239">
        <v>50</v>
      </c>
      <c r="I117" s="240"/>
      <c r="J117" s="270"/>
      <c r="K117" s="43">
        <f t="shared" si="3"/>
        <v>50</v>
      </c>
      <c r="L117" s="43">
        <f t="shared" si="5"/>
        <v>8314.949999999988</v>
      </c>
      <c r="M117" s="18" t="s">
        <v>412</v>
      </c>
      <c r="N117" s="25"/>
      <c r="O117" s="15"/>
      <c r="P117" t="s">
        <v>586</v>
      </c>
      <c r="Q117"/>
      <c r="R117"/>
      <c r="S117" s="125"/>
      <c r="T117"/>
      <c r="X117"/>
    </row>
    <row r="118" spans="1:25" x14ac:dyDescent="0.3">
      <c r="A118" s="12"/>
      <c r="B118" s="106" t="s">
        <v>487</v>
      </c>
      <c r="C118" s="4" t="s">
        <v>1566</v>
      </c>
      <c r="D118" s="133" t="s">
        <v>512</v>
      </c>
      <c r="E118" s="269" t="s">
        <v>1567</v>
      </c>
      <c r="F118" s="240"/>
      <c r="G118" s="264"/>
      <c r="H118" s="240">
        <v>60</v>
      </c>
      <c r="I118" s="240"/>
      <c r="J118" s="270"/>
      <c r="K118" s="43">
        <f t="shared" si="3"/>
        <v>60</v>
      </c>
      <c r="L118" s="43">
        <f t="shared" si="5"/>
        <v>8374.949999999988</v>
      </c>
      <c r="M118" s="18" t="s">
        <v>412</v>
      </c>
      <c r="N118"/>
      <c r="O118" t="s">
        <v>1531</v>
      </c>
      <c r="P118"/>
      <c r="Q118"/>
      <c r="R118" s="4">
        <v>-1096</v>
      </c>
      <c r="S118" s="4"/>
      <c r="T118"/>
    </row>
    <row r="119" spans="1:25" x14ac:dyDescent="0.3">
      <c r="A119" s="12"/>
      <c r="B119" s="106" t="s">
        <v>487</v>
      </c>
      <c r="C119" s="4" t="s">
        <v>1574</v>
      </c>
      <c r="D119" s="133" t="s">
        <v>512</v>
      </c>
      <c r="E119" s="269" t="s">
        <v>1578</v>
      </c>
      <c r="F119" s="269"/>
      <c r="G119" s="264"/>
      <c r="H119" s="240">
        <v>140</v>
      </c>
      <c r="I119" s="240"/>
      <c r="J119" s="270"/>
      <c r="K119" s="43">
        <f>H119+J119</f>
        <v>140</v>
      </c>
      <c r="L119" s="43">
        <f t="shared" ref="L119:L125" si="6">L118+K119</f>
        <v>8514.949999999988</v>
      </c>
      <c r="M119" s="18" t="s">
        <v>412</v>
      </c>
      <c r="O119" t="s">
        <v>1559</v>
      </c>
      <c r="P119"/>
      <c r="Q119"/>
      <c r="R119" s="125">
        <v>-46.45</v>
      </c>
      <c r="S119" s="4"/>
      <c r="T119" s="125"/>
    </row>
    <row r="120" spans="1:25" x14ac:dyDescent="0.3">
      <c r="A120" s="29"/>
      <c r="B120" s="106" t="s">
        <v>487</v>
      </c>
      <c r="C120" s="280" t="s">
        <v>1568</v>
      </c>
      <c r="D120" s="112" t="s">
        <v>500</v>
      </c>
      <c r="E120" s="121" t="s">
        <v>1579</v>
      </c>
      <c r="F120" s="27"/>
      <c r="G120" s="210"/>
      <c r="H120" s="49">
        <v>83</v>
      </c>
      <c r="I120" s="42"/>
      <c r="J120" s="42"/>
      <c r="K120" s="43">
        <f t="shared" si="3"/>
        <v>83</v>
      </c>
      <c r="L120" s="43">
        <f t="shared" si="6"/>
        <v>8597.949999999988</v>
      </c>
      <c r="M120" s="18" t="s">
        <v>412</v>
      </c>
      <c r="O120" t="s">
        <v>1559</v>
      </c>
      <c r="P120"/>
      <c r="Q120"/>
      <c r="R120" s="125">
        <v>-46.45</v>
      </c>
      <c r="S120" s="4"/>
      <c r="T120" s="125"/>
      <c r="X120"/>
    </row>
    <row r="121" spans="1:25" x14ac:dyDescent="0.3">
      <c r="A121" s="12"/>
      <c r="B121" s="106" t="s">
        <v>487</v>
      </c>
      <c r="C121" s="4" t="s">
        <v>1569</v>
      </c>
      <c r="D121" s="112" t="s">
        <v>500</v>
      </c>
      <c r="E121" s="121" t="s">
        <v>1295</v>
      </c>
      <c r="F121" s="27"/>
      <c r="H121" s="49">
        <v>50</v>
      </c>
      <c r="I121" s="42"/>
      <c r="J121" s="42"/>
      <c r="K121" s="43">
        <f t="shared" si="3"/>
        <v>50</v>
      </c>
      <c r="L121" s="43">
        <f t="shared" si="6"/>
        <v>8647.949999999988</v>
      </c>
      <c r="M121" s="18" t="s">
        <v>412</v>
      </c>
      <c r="O121" t="s">
        <v>1560</v>
      </c>
      <c r="Q121" s="15"/>
      <c r="R121" s="4">
        <v>-202.5</v>
      </c>
      <c r="S121" s="4" t="s">
        <v>1419</v>
      </c>
      <c r="T121" s="125"/>
    </row>
    <row r="122" spans="1:25" x14ac:dyDescent="0.3">
      <c r="A122" s="12"/>
      <c r="B122" s="106" t="s">
        <v>487</v>
      </c>
      <c r="C122" s="4" t="s">
        <v>1569</v>
      </c>
      <c r="D122" s="133" t="s">
        <v>512</v>
      </c>
      <c r="E122" s="120"/>
      <c r="F122" s="240"/>
      <c r="G122" s="120"/>
      <c r="H122" s="240">
        <v>25</v>
      </c>
      <c r="I122" s="240"/>
      <c r="J122" s="268"/>
      <c r="K122" s="43">
        <f t="shared" si="3"/>
        <v>25</v>
      </c>
      <c r="L122" s="43">
        <f t="shared" si="6"/>
        <v>8672.949999999988</v>
      </c>
      <c r="M122" s="18" t="s">
        <v>412</v>
      </c>
      <c r="S122" s="125"/>
      <c r="T122" s="125"/>
      <c r="U122"/>
    </row>
    <row r="123" spans="1:25" x14ac:dyDescent="0.3">
      <c r="B123" s="106" t="s">
        <v>487</v>
      </c>
      <c r="C123" s="213" t="s">
        <v>1563</v>
      </c>
      <c r="D123" s="133" t="s">
        <v>518</v>
      </c>
      <c r="E123" s="269" t="s">
        <v>1570</v>
      </c>
      <c r="F123" s="240"/>
      <c r="G123" s="264"/>
      <c r="H123" s="240"/>
      <c r="I123" s="240"/>
      <c r="J123" s="268">
        <v>-1020</v>
      </c>
      <c r="K123" s="43">
        <f t="shared" si="3"/>
        <v>-1020</v>
      </c>
      <c r="L123" s="43">
        <f t="shared" si="6"/>
        <v>7652.949999999988</v>
      </c>
      <c r="M123" s="18" t="s">
        <v>90</v>
      </c>
      <c r="O123" s="15"/>
      <c r="Q123" s="15"/>
      <c r="S123" s="4"/>
      <c r="T123" s="125">
        <f>SUM(R118:R123)</f>
        <v>-1391.4</v>
      </c>
      <c r="U123"/>
    </row>
    <row r="124" spans="1:25" x14ac:dyDescent="0.3">
      <c r="B124" s="106" t="s">
        <v>487</v>
      </c>
      <c r="C124" s="4" t="s">
        <v>1571</v>
      </c>
      <c r="D124" s="133" t="s">
        <v>518</v>
      </c>
      <c r="E124" s="269" t="s">
        <v>1572</v>
      </c>
      <c r="F124" s="240"/>
      <c r="G124" s="264"/>
      <c r="H124" s="240"/>
      <c r="I124" s="240"/>
      <c r="J124" s="268">
        <v>-132</v>
      </c>
      <c r="K124" s="43">
        <f t="shared" si="3"/>
        <v>-132</v>
      </c>
      <c r="L124" s="43">
        <f t="shared" si="6"/>
        <v>7520.949999999988</v>
      </c>
      <c r="M124" s="18" t="s">
        <v>90</v>
      </c>
      <c r="O124" s="15"/>
      <c r="P124"/>
      <c r="Q124"/>
      <c r="S124" s="43"/>
      <c r="T124" s="4"/>
      <c r="U124"/>
      <c r="Y124" s="57"/>
    </row>
    <row r="125" spans="1:25" x14ac:dyDescent="0.3">
      <c r="A125" s="12"/>
      <c r="B125" s="106" t="s">
        <v>487</v>
      </c>
      <c r="C125" s="4" t="s">
        <v>1573</v>
      </c>
      <c r="D125" s="132" t="s">
        <v>13</v>
      </c>
      <c r="E125" s="168" t="s">
        <v>315</v>
      </c>
      <c r="F125" s="27"/>
      <c r="G125" s="33"/>
      <c r="H125" s="42"/>
      <c r="I125" s="171"/>
      <c r="J125" s="42">
        <v>-369.1</v>
      </c>
      <c r="K125" s="43">
        <f t="shared" si="3"/>
        <v>-369.1</v>
      </c>
      <c r="L125" s="43">
        <f t="shared" si="6"/>
        <v>7151.8499999999876</v>
      </c>
      <c r="M125" s="18" t="s">
        <v>90</v>
      </c>
      <c r="N125" s="25"/>
      <c r="O125" t="s">
        <v>652</v>
      </c>
      <c r="P125" s="11"/>
      <c r="Q125"/>
      <c r="T125" s="74">
        <f>T116+T123</f>
        <v>7071.85</v>
      </c>
      <c r="U125" s="186" t="s">
        <v>588</v>
      </c>
    </row>
    <row r="126" spans="1:25" x14ac:dyDescent="0.3">
      <c r="A126" s="12"/>
      <c r="B126" s="106" t="s">
        <v>487</v>
      </c>
      <c r="C126" s="4" t="s">
        <v>1575</v>
      </c>
      <c r="D126" s="133" t="s">
        <v>518</v>
      </c>
      <c r="E126" s="269" t="s">
        <v>1576</v>
      </c>
      <c r="I126" s="240"/>
      <c r="J126" s="270">
        <v>-80</v>
      </c>
      <c r="K126" s="43">
        <f t="shared" si="3"/>
        <v>-80</v>
      </c>
      <c r="L126" s="75">
        <f t="shared" si="5"/>
        <v>7071.8499999999876</v>
      </c>
      <c r="M126" s="18" t="s">
        <v>90</v>
      </c>
    </row>
    <row r="127" spans="1:25" x14ac:dyDescent="0.3">
      <c r="F127" s="269"/>
      <c r="G127" s="264"/>
      <c r="H127" s="240"/>
      <c r="I127" s="240"/>
      <c r="J127" s="270"/>
      <c r="K127" s="43">
        <f t="shared" si="3"/>
        <v>0</v>
      </c>
      <c r="L127" s="43">
        <f t="shared" si="5"/>
        <v>7071.8499999999876</v>
      </c>
    </row>
    <row r="128" spans="1:25" x14ac:dyDescent="0.3">
      <c r="A128" s="28" t="s">
        <v>354</v>
      </c>
      <c r="B128" s="105" t="s">
        <v>488</v>
      </c>
      <c r="C128" s="214"/>
      <c r="D128" s="133"/>
      <c r="E128" s="269"/>
      <c r="F128" s="240"/>
      <c r="G128" s="264"/>
      <c r="H128" s="240"/>
      <c r="I128" s="240"/>
      <c r="J128" s="270"/>
      <c r="K128" s="43">
        <f t="shared" si="3"/>
        <v>0</v>
      </c>
      <c r="L128" s="43">
        <f t="shared" si="5"/>
        <v>7071.8499999999876</v>
      </c>
    </row>
    <row r="129" spans="1:24" x14ac:dyDescent="0.3">
      <c r="A129" s="12"/>
      <c r="B129" s="105" t="s">
        <v>488</v>
      </c>
      <c r="C129" s="4" t="s">
        <v>58</v>
      </c>
      <c r="D129" s="132" t="s">
        <v>9</v>
      </c>
      <c r="E129" s="1" t="s">
        <v>748</v>
      </c>
      <c r="J129" s="42">
        <v>-135.03</v>
      </c>
      <c r="K129" s="43">
        <f t="shared" si="3"/>
        <v>-135.03</v>
      </c>
      <c r="L129" s="43">
        <f t="shared" si="5"/>
        <v>6936.8199999999879</v>
      </c>
      <c r="M129" s="18" t="s">
        <v>90</v>
      </c>
      <c r="O129" s="30" t="s">
        <v>1537</v>
      </c>
      <c r="P129"/>
      <c r="Q129"/>
      <c r="R129"/>
      <c r="S129"/>
      <c r="T129" t="s">
        <v>90</v>
      </c>
      <c r="U129"/>
    </row>
    <row r="130" spans="1:24" x14ac:dyDescent="0.3">
      <c r="A130" s="26"/>
      <c r="B130" s="105" t="s">
        <v>488</v>
      </c>
      <c r="C130" s="4" t="s">
        <v>58</v>
      </c>
      <c r="D130" s="133" t="s">
        <v>8</v>
      </c>
      <c r="E130" s="1" t="s">
        <v>748</v>
      </c>
      <c r="F130" s="27"/>
      <c r="G130" s="33"/>
      <c r="H130" s="42"/>
      <c r="I130" s="171"/>
      <c r="J130" s="42">
        <v>-29.7</v>
      </c>
      <c r="K130" s="43">
        <f t="shared" si="3"/>
        <v>-29.7</v>
      </c>
      <c r="L130" s="43">
        <f t="shared" si="5"/>
        <v>6907.1199999999881</v>
      </c>
      <c r="M130" s="16" t="s">
        <v>90</v>
      </c>
      <c r="N130" s="25"/>
      <c r="O130"/>
      <c r="Q130" s="15"/>
      <c r="U130"/>
      <c r="X130"/>
    </row>
    <row r="131" spans="1:24" x14ac:dyDescent="0.3">
      <c r="B131" s="105" t="s">
        <v>488</v>
      </c>
      <c r="C131" s="4" t="s">
        <v>299</v>
      </c>
      <c r="D131" s="133" t="s">
        <v>301</v>
      </c>
      <c r="E131" s="213"/>
      <c r="F131" s="213"/>
      <c r="G131" s="214"/>
      <c r="H131" s="215"/>
      <c r="I131" s="215"/>
      <c r="J131" s="232">
        <v>-44.94</v>
      </c>
      <c r="K131" s="43">
        <f t="shared" si="3"/>
        <v>-44.94</v>
      </c>
      <c r="L131" s="43">
        <f t="shared" si="5"/>
        <v>6862.1799999999885</v>
      </c>
      <c r="M131" s="18" t="s">
        <v>90</v>
      </c>
      <c r="O131" t="s">
        <v>584</v>
      </c>
      <c r="Q131" s="15"/>
      <c r="T131" s="15">
        <f>8015.4</f>
        <v>8015.4</v>
      </c>
      <c r="U131"/>
      <c r="X131"/>
    </row>
    <row r="132" spans="1:24" x14ac:dyDescent="0.3">
      <c r="A132" s="12"/>
      <c r="B132" s="105" t="s">
        <v>488</v>
      </c>
      <c r="C132" s="4" t="s">
        <v>607</v>
      </c>
      <c r="D132" s="133" t="s">
        <v>11</v>
      </c>
      <c r="E132" s="213"/>
      <c r="F132" s="213"/>
      <c r="G132" s="214"/>
      <c r="H132" s="215"/>
      <c r="I132" s="215"/>
      <c r="J132" s="232">
        <v>-46.45</v>
      </c>
      <c r="K132" s="43">
        <f t="shared" si="3"/>
        <v>-46.45</v>
      </c>
      <c r="L132" s="43">
        <f t="shared" si="5"/>
        <v>6815.7299999999886</v>
      </c>
      <c r="O132"/>
      <c r="Q132" s="15"/>
      <c r="U132"/>
    </row>
    <row r="133" spans="1:24" x14ac:dyDescent="0.3">
      <c r="B133" s="105" t="s">
        <v>488</v>
      </c>
      <c r="C133" s="214" t="s">
        <v>1109</v>
      </c>
      <c r="D133" s="133" t="s">
        <v>12</v>
      </c>
      <c r="E133" s="213"/>
      <c r="F133" s="215"/>
      <c r="G133" s="214"/>
      <c r="H133" s="215"/>
      <c r="I133" s="215"/>
      <c r="J133" s="232">
        <v>-32.659999999999997</v>
      </c>
      <c r="K133" s="43">
        <f t="shared" ref="K133:K217" si="7">H133+J133</f>
        <v>-32.659999999999997</v>
      </c>
      <c r="L133" s="43">
        <f t="shared" si="5"/>
        <v>6783.0699999999888</v>
      </c>
      <c r="M133" s="18" t="s">
        <v>90</v>
      </c>
      <c r="O133" t="s">
        <v>586</v>
      </c>
      <c r="P133"/>
      <c r="Q133"/>
      <c r="R133" s="125"/>
      <c r="U133"/>
    </row>
    <row r="134" spans="1:24" x14ac:dyDescent="0.3">
      <c r="A134" s="28"/>
      <c r="B134" s="105" t="s">
        <v>488</v>
      </c>
      <c r="C134" s="4" t="s">
        <v>48</v>
      </c>
      <c r="D134" s="133" t="s">
        <v>12</v>
      </c>
      <c r="E134" s="213"/>
      <c r="F134" s="215"/>
      <c r="G134" s="214"/>
      <c r="H134" s="215"/>
      <c r="I134" s="215"/>
      <c r="J134" s="232">
        <v>-72.42</v>
      </c>
      <c r="K134" s="43">
        <f t="shared" si="7"/>
        <v>-72.42</v>
      </c>
      <c r="L134" s="43">
        <f t="shared" si="5"/>
        <v>6710.6499999999887</v>
      </c>
      <c r="M134" s="18" t="s">
        <v>90</v>
      </c>
      <c r="O134" t="s">
        <v>1531</v>
      </c>
      <c r="P134"/>
      <c r="Q134"/>
      <c r="R134" s="4">
        <v>-1096</v>
      </c>
      <c r="U134"/>
    </row>
    <row r="135" spans="1:24" x14ac:dyDescent="0.3">
      <c r="A135" s="12"/>
      <c r="B135" s="105" t="s">
        <v>488</v>
      </c>
      <c r="C135" s="4" t="s">
        <v>1544</v>
      </c>
      <c r="D135" s="133" t="s">
        <v>12</v>
      </c>
      <c r="E135" s="1" t="s">
        <v>354</v>
      </c>
      <c r="J135" s="43">
        <v>-195</v>
      </c>
      <c r="K135" s="43">
        <f t="shared" si="7"/>
        <v>-195</v>
      </c>
      <c r="L135" s="43">
        <f t="shared" si="5"/>
        <v>6515.6499999999887</v>
      </c>
      <c r="M135" s="16"/>
      <c r="O135" t="s">
        <v>1559</v>
      </c>
      <c r="P135"/>
      <c r="Q135"/>
      <c r="R135" s="125">
        <v>-46.45</v>
      </c>
      <c r="U135"/>
    </row>
    <row r="136" spans="1:24" x14ac:dyDescent="0.3">
      <c r="A136" s="26"/>
      <c r="B136" s="105" t="s">
        <v>488</v>
      </c>
      <c r="C136" s="4" t="s">
        <v>1580</v>
      </c>
      <c r="D136" s="133" t="s">
        <v>518</v>
      </c>
      <c r="E136" s="269" t="s">
        <v>1581</v>
      </c>
      <c r="F136" s="269"/>
      <c r="G136" s="264"/>
      <c r="H136" s="240"/>
      <c r="I136" s="240"/>
      <c r="J136" s="270">
        <v>-12</v>
      </c>
      <c r="K136" s="43">
        <f t="shared" si="7"/>
        <v>-12</v>
      </c>
      <c r="L136" s="43">
        <f t="shared" si="5"/>
        <v>6503.6499999999887</v>
      </c>
      <c r="M136" s="16" t="s">
        <v>90</v>
      </c>
      <c r="O136" t="s">
        <v>1559</v>
      </c>
      <c r="P136"/>
      <c r="Q136"/>
      <c r="R136" s="125">
        <v>-46.45</v>
      </c>
      <c r="U136"/>
    </row>
    <row r="137" spans="1:24" x14ac:dyDescent="0.3">
      <c r="B137" s="105" t="s">
        <v>488</v>
      </c>
      <c r="C137" s="4" t="s">
        <v>234</v>
      </c>
      <c r="D137" s="133" t="s">
        <v>12</v>
      </c>
      <c r="E137" s="269" t="s">
        <v>1582</v>
      </c>
      <c r="F137" s="269"/>
      <c r="G137" s="264"/>
      <c r="H137" s="240"/>
      <c r="I137" s="240"/>
      <c r="J137" s="270">
        <v>-85.2</v>
      </c>
      <c r="K137" s="43">
        <f t="shared" si="7"/>
        <v>-85.2</v>
      </c>
      <c r="L137" s="43">
        <f t="shared" si="5"/>
        <v>6418.4499999999889</v>
      </c>
      <c r="M137" s="16" t="s">
        <v>90</v>
      </c>
      <c r="N137" s="18"/>
      <c r="O137" t="s">
        <v>1559</v>
      </c>
      <c r="P137"/>
      <c r="Q137"/>
      <c r="R137" s="125">
        <v>-46.45</v>
      </c>
      <c r="S137"/>
      <c r="T137" s="4"/>
      <c r="U137"/>
    </row>
    <row r="138" spans="1:24" x14ac:dyDescent="0.3">
      <c r="A138" s="12"/>
      <c r="B138" s="105" t="s">
        <v>488</v>
      </c>
      <c r="C138" s="214" t="s">
        <v>465</v>
      </c>
      <c r="D138" s="133" t="s">
        <v>12</v>
      </c>
      <c r="E138" s="269" t="s">
        <v>1583</v>
      </c>
      <c r="F138" s="240"/>
      <c r="G138" s="264"/>
      <c r="H138" s="240"/>
      <c r="I138" s="240"/>
      <c r="J138" s="270">
        <v>-16</v>
      </c>
      <c r="K138" s="43">
        <f t="shared" si="7"/>
        <v>-16</v>
      </c>
      <c r="L138" s="43">
        <f t="shared" si="5"/>
        <v>6402.4499999999889</v>
      </c>
      <c r="M138" s="16" t="s">
        <v>90</v>
      </c>
      <c r="O138" s="4" t="s">
        <v>1544</v>
      </c>
      <c r="R138" s="125">
        <v>-195</v>
      </c>
      <c r="S138" t="s">
        <v>1603</v>
      </c>
    </row>
    <row r="139" spans="1:24" x14ac:dyDescent="0.3">
      <c r="A139" s="12"/>
      <c r="B139" s="105" t="s">
        <v>488</v>
      </c>
      <c r="C139" s="4" t="s">
        <v>1584</v>
      </c>
      <c r="D139" s="133" t="s">
        <v>12</v>
      </c>
      <c r="E139" s="269" t="s">
        <v>1585</v>
      </c>
      <c r="F139" s="240"/>
      <c r="G139" s="264"/>
      <c r="H139" s="240"/>
      <c r="I139" s="240"/>
      <c r="J139" s="270">
        <v>-10.5</v>
      </c>
      <c r="K139" s="43">
        <f t="shared" si="7"/>
        <v>-10.5</v>
      </c>
      <c r="L139" s="43">
        <f t="shared" si="5"/>
        <v>6391.9499999999889</v>
      </c>
      <c r="M139" s="18" t="s">
        <v>90</v>
      </c>
      <c r="O139" s="4" t="s">
        <v>949</v>
      </c>
      <c r="R139" s="125">
        <v>90</v>
      </c>
      <c r="S139" t="s">
        <v>1603</v>
      </c>
      <c r="W139"/>
    </row>
    <row r="140" spans="1:24" x14ac:dyDescent="0.3">
      <c r="A140" s="29"/>
      <c r="B140" s="105" t="s">
        <v>488</v>
      </c>
      <c r="C140" s="4" t="s">
        <v>1569</v>
      </c>
      <c r="D140" s="133" t="s">
        <v>512</v>
      </c>
      <c r="E140" s="210"/>
      <c r="F140" s="27"/>
      <c r="G140" s="210"/>
      <c r="H140" s="42">
        <v>95</v>
      </c>
      <c r="I140" s="42"/>
      <c r="J140" s="42"/>
      <c r="K140" s="43">
        <f t="shared" si="7"/>
        <v>95</v>
      </c>
      <c r="L140" s="43">
        <f t="shared" si="5"/>
        <v>6486.9499999999889</v>
      </c>
      <c r="M140" s="18" t="s">
        <v>90</v>
      </c>
      <c r="O140" s="4" t="s">
        <v>1600</v>
      </c>
      <c r="R140" s="125">
        <v>60</v>
      </c>
      <c r="S140" t="s">
        <v>1603</v>
      </c>
      <c r="W140"/>
    </row>
    <row r="141" spans="1:24" x14ac:dyDescent="0.3">
      <c r="A141" s="29"/>
      <c r="B141" s="105" t="s">
        <v>488</v>
      </c>
      <c r="C141" s="4" t="s">
        <v>237</v>
      </c>
      <c r="D141" s="116" t="s">
        <v>621</v>
      </c>
      <c r="E141" s="269" t="s">
        <v>1586</v>
      </c>
      <c r="F141" s="240"/>
      <c r="G141" s="264"/>
      <c r="H141" s="240"/>
      <c r="I141" s="240"/>
      <c r="J141" s="271">
        <v>-31.9</v>
      </c>
      <c r="K141" s="43">
        <f t="shared" si="7"/>
        <v>-31.9</v>
      </c>
      <c r="L141" s="43">
        <f t="shared" si="5"/>
        <v>6455.0499999999893</v>
      </c>
      <c r="M141" s="18" t="s">
        <v>90</v>
      </c>
      <c r="W141"/>
    </row>
    <row r="142" spans="1:24" x14ac:dyDescent="0.3">
      <c r="B142" s="105" t="s">
        <v>488</v>
      </c>
      <c r="C142" s="4" t="s">
        <v>1587</v>
      </c>
      <c r="D142" s="133" t="s">
        <v>512</v>
      </c>
      <c r="E142" s="269" t="s">
        <v>1596</v>
      </c>
      <c r="F142" s="240"/>
      <c r="G142" s="264"/>
      <c r="H142" s="240">
        <v>50</v>
      </c>
      <c r="I142" s="240"/>
      <c r="J142" s="272"/>
      <c r="K142" s="43">
        <f t="shared" si="7"/>
        <v>50</v>
      </c>
      <c r="L142" s="43">
        <f t="shared" si="5"/>
        <v>6505.0499999999893</v>
      </c>
      <c r="M142" s="18" t="s">
        <v>90</v>
      </c>
      <c r="V142"/>
    </row>
    <row r="143" spans="1:24" x14ac:dyDescent="0.3">
      <c r="A143" s="12"/>
      <c r="B143" s="105" t="s">
        <v>488</v>
      </c>
      <c r="C143" s="4" t="s">
        <v>1588</v>
      </c>
      <c r="D143" s="112" t="s">
        <v>504</v>
      </c>
      <c r="E143" s="121" t="s">
        <v>951</v>
      </c>
      <c r="F143" s="240"/>
      <c r="G143" s="273" t="s">
        <v>1589</v>
      </c>
      <c r="H143" s="240"/>
      <c r="I143" s="240"/>
      <c r="J143" s="236">
        <v>-50</v>
      </c>
      <c r="K143" s="43">
        <f t="shared" si="7"/>
        <v>-50</v>
      </c>
      <c r="L143" s="43">
        <f t="shared" si="5"/>
        <v>6455.0499999999893</v>
      </c>
      <c r="M143" s="18" t="s">
        <v>90</v>
      </c>
      <c r="U143" t="s">
        <v>588</v>
      </c>
      <c r="V143" s="57">
        <f>+T146-L150</f>
        <v>1.0004441719502211E-11</v>
      </c>
    </row>
    <row r="144" spans="1:24" x14ac:dyDescent="0.3">
      <c r="A144" s="12"/>
      <c r="B144" s="105" t="s">
        <v>488</v>
      </c>
      <c r="C144" s="4" t="s">
        <v>1590</v>
      </c>
      <c r="D144" s="112" t="s">
        <v>500</v>
      </c>
      <c r="E144" s="121" t="s">
        <v>1304</v>
      </c>
      <c r="F144" s="240"/>
      <c r="G144" s="210"/>
      <c r="H144" s="239">
        <v>50</v>
      </c>
      <c r="I144" s="240"/>
      <c r="J144" s="272"/>
      <c r="K144" s="43">
        <f t="shared" si="7"/>
        <v>50</v>
      </c>
      <c r="L144" s="43">
        <f t="shared" si="5"/>
        <v>6505.0499999999893</v>
      </c>
      <c r="M144" s="18" t="s">
        <v>1601</v>
      </c>
      <c r="O144" s="4"/>
      <c r="R144" s="125"/>
      <c r="T144" s="11">
        <f>+SUM(R134:R144)</f>
        <v>-1280.3500000000001</v>
      </c>
      <c r="W144"/>
    </row>
    <row r="145" spans="1:24" x14ac:dyDescent="0.3">
      <c r="A145" s="12"/>
      <c r="B145" s="105" t="s">
        <v>488</v>
      </c>
      <c r="C145" s="4" t="s">
        <v>1590</v>
      </c>
      <c r="D145" s="133" t="s">
        <v>512</v>
      </c>
      <c r="E145" s="269"/>
      <c r="F145" s="240"/>
      <c r="G145" s="273"/>
      <c r="H145" s="240">
        <v>40</v>
      </c>
      <c r="I145" s="240"/>
      <c r="J145" s="272"/>
      <c r="K145" s="43">
        <f t="shared" si="7"/>
        <v>40</v>
      </c>
      <c r="L145" s="43">
        <f t="shared" si="5"/>
        <v>6545.0499999999893</v>
      </c>
      <c r="M145" s="18" t="s">
        <v>1601</v>
      </c>
    </row>
    <row r="146" spans="1:24" x14ac:dyDescent="0.3">
      <c r="A146" s="12"/>
      <c r="B146" s="105" t="s">
        <v>488</v>
      </c>
      <c r="C146" s="4" t="s">
        <v>1591</v>
      </c>
      <c r="D146" s="133" t="s">
        <v>512</v>
      </c>
      <c r="E146" s="120" t="s">
        <v>1592</v>
      </c>
      <c r="F146" s="240"/>
      <c r="G146" s="273"/>
      <c r="H146" s="240">
        <v>60</v>
      </c>
      <c r="I146" s="240"/>
      <c r="J146" s="272"/>
      <c r="K146" s="43">
        <f t="shared" si="7"/>
        <v>60</v>
      </c>
      <c r="L146" s="43">
        <f t="shared" si="5"/>
        <v>6605.0499999999893</v>
      </c>
      <c r="M146" s="18" t="s">
        <v>1602</v>
      </c>
      <c r="O146" t="s">
        <v>652</v>
      </c>
      <c r="P146"/>
      <c r="Q146"/>
      <c r="R146"/>
      <c r="S146" s="23"/>
      <c r="T146">
        <f>SUM(T131:T144)</f>
        <v>6735.0499999999993</v>
      </c>
    </row>
    <row r="147" spans="1:24" x14ac:dyDescent="0.3">
      <c r="B147" s="105" t="s">
        <v>488</v>
      </c>
      <c r="C147" s="4" t="s">
        <v>1593</v>
      </c>
      <c r="D147" s="112" t="s">
        <v>504</v>
      </c>
      <c r="E147" s="121" t="s">
        <v>981</v>
      </c>
      <c r="F147" s="240"/>
      <c r="G147" s="120" t="s">
        <v>1072</v>
      </c>
      <c r="H147" s="42"/>
      <c r="I147" s="171"/>
      <c r="J147" s="49">
        <v>-50</v>
      </c>
      <c r="K147" s="43">
        <f t="shared" si="7"/>
        <v>-50</v>
      </c>
      <c r="L147" s="43">
        <f t="shared" si="5"/>
        <v>6555.0499999999893</v>
      </c>
      <c r="M147" s="18" t="s">
        <v>90</v>
      </c>
    </row>
    <row r="148" spans="1:24" x14ac:dyDescent="0.3">
      <c r="A148" s="12"/>
      <c r="B148" s="105" t="s">
        <v>488</v>
      </c>
      <c r="C148" s="4" t="s">
        <v>1594</v>
      </c>
      <c r="D148" s="133" t="s">
        <v>512</v>
      </c>
      <c r="E148" s="269"/>
      <c r="F148" s="269"/>
      <c r="G148" s="264"/>
      <c r="H148" s="240">
        <v>120</v>
      </c>
      <c r="I148" s="240"/>
      <c r="J148" s="270"/>
      <c r="K148" s="43">
        <f t="shared" si="7"/>
        <v>120</v>
      </c>
      <c r="L148" s="43">
        <f t="shared" si="5"/>
        <v>6675.0499999999893</v>
      </c>
      <c r="M148" s="18" t="s">
        <v>412</v>
      </c>
    </row>
    <row r="149" spans="1:24" x14ac:dyDescent="0.3">
      <c r="A149" s="12"/>
      <c r="B149" s="105" t="s">
        <v>488</v>
      </c>
      <c r="C149" s="4" t="s">
        <v>1594</v>
      </c>
      <c r="D149" s="112" t="s">
        <v>500</v>
      </c>
      <c r="E149" s="121" t="s">
        <v>1597</v>
      </c>
      <c r="F149" s="269"/>
      <c r="G149" s="210"/>
      <c r="H149" s="239">
        <v>50</v>
      </c>
      <c r="I149" s="240"/>
      <c r="J149" s="270"/>
      <c r="K149" s="43">
        <f t="shared" si="7"/>
        <v>50</v>
      </c>
      <c r="L149" s="43">
        <f t="shared" si="5"/>
        <v>6725.0499999999893</v>
      </c>
      <c r="M149" s="18" t="s">
        <v>412</v>
      </c>
    </row>
    <row r="150" spans="1:24" x14ac:dyDescent="0.3">
      <c r="A150" s="12"/>
      <c r="B150" s="105" t="s">
        <v>488</v>
      </c>
      <c r="C150" s="4" t="s">
        <v>1595</v>
      </c>
      <c r="D150" s="133" t="s">
        <v>512</v>
      </c>
      <c r="E150" s="269"/>
      <c r="F150" s="269"/>
      <c r="G150" s="264"/>
      <c r="H150" s="240">
        <v>10</v>
      </c>
      <c r="I150" s="240"/>
      <c r="J150" s="270"/>
      <c r="K150" s="43">
        <f t="shared" si="7"/>
        <v>10</v>
      </c>
      <c r="L150" s="75">
        <f t="shared" si="5"/>
        <v>6735.0499999999893</v>
      </c>
      <c r="M150" s="18" t="s">
        <v>90</v>
      </c>
    </row>
    <row r="151" spans="1:24" x14ac:dyDescent="0.3">
      <c r="A151" s="12"/>
      <c r="B151" s="105"/>
      <c r="F151" s="240"/>
      <c r="G151" s="264"/>
      <c r="H151" s="240"/>
      <c r="I151" s="240"/>
      <c r="J151" s="270"/>
      <c r="K151" s="43">
        <f t="shared" si="7"/>
        <v>0</v>
      </c>
      <c r="L151" s="43">
        <f t="shared" si="5"/>
        <v>6735.0499999999893</v>
      </c>
    </row>
    <row r="152" spans="1:24" x14ac:dyDescent="0.3">
      <c r="A152" s="12"/>
      <c r="B152" s="105"/>
      <c r="C152" s="4"/>
      <c r="D152" s="133"/>
      <c r="E152" s="269"/>
      <c r="F152" s="240"/>
      <c r="G152" s="264"/>
      <c r="H152" s="240"/>
      <c r="I152" s="240"/>
      <c r="J152" s="270"/>
      <c r="K152" s="43">
        <f t="shared" si="7"/>
        <v>0</v>
      </c>
      <c r="L152" s="43">
        <f t="shared" si="5"/>
        <v>6735.0499999999893</v>
      </c>
    </row>
    <row r="153" spans="1:24" x14ac:dyDescent="0.3">
      <c r="A153" s="5" t="s">
        <v>344</v>
      </c>
      <c r="B153" s="106" t="s">
        <v>489</v>
      </c>
      <c r="C153" s="214" t="s">
        <v>1598</v>
      </c>
      <c r="D153" s="133" t="s">
        <v>518</v>
      </c>
      <c r="E153" s="269" t="s">
        <v>1599</v>
      </c>
      <c r="F153" s="240"/>
      <c r="G153" s="264"/>
      <c r="H153" s="240"/>
      <c r="I153" s="240"/>
      <c r="J153" s="268">
        <v>-70</v>
      </c>
      <c r="K153" s="43">
        <f t="shared" si="7"/>
        <v>-70</v>
      </c>
      <c r="L153" s="43">
        <f t="shared" si="5"/>
        <v>6665.0499999999893</v>
      </c>
      <c r="M153" s="18" t="s">
        <v>90</v>
      </c>
    </row>
    <row r="154" spans="1:24" x14ac:dyDescent="0.3">
      <c r="A154" s="12"/>
      <c r="B154" s="106" t="s">
        <v>489</v>
      </c>
      <c r="C154" s="4" t="s">
        <v>58</v>
      </c>
      <c r="D154" s="132" t="s">
        <v>9</v>
      </c>
      <c r="E154" s="1" t="s">
        <v>354</v>
      </c>
      <c r="J154" s="42">
        <v>-107.18</v>
      </c>
      <c r="K154" s="43">
        <f t="shared" si="7"/>
        <v>-107.18</v>
      </c>
      <c r="L154" s="43">
        <f t="shared" si="5"/>
        <v>6557.869999999989</v>
      </c>
      <c r="M154" s="18" t="s">
        <v>90</v>
      </c>
    </row>
    <row r="155" spans="1:24" x14ac:dyDescent="0.3">
      <c r="A155" s="12"/>
      <c r="B155" s="106" t="s">
        <v>489</v>
      </c>
      <c r="C155" s="4" t="s">
        <v>58</v>
      </c>
      <c r="D155" s="133" t="s">
        <v>8</v>
      </c>
      <c r="E155" s="1" t="s">
        <v>354</v>
      </c>
      <c r="F155" s="27"/>
      <c r="G155" s="33"/>
      <c r="H155" s="42"/>
      <c r="I155" s="171"/>
      <c r="J155" s="42">
        <v>-19.489999999999998</v>
      </c>
      <c r="K155" s="43">
        <f t="shared" si="7"/>
        <v>-19.489999999999998</v>
      </c>
      <c r="L155" s="43">
        <f t="shared" si="5"/>
        <v>6538.3799999999892</v>
      </c>
      <c r="M155" s="18" t="s">
        <v>90</v>
      </c>
    </row>
    <row r="156" spans="1:24" x14ac:dyDescent="0.3">
      <c r="A156" s="12"/>
      <c r="B156" s="106" t="s">
        <v>489</v>
      </c>
      <c r="C156" s="4" t="s">
        <v>299</v>
      </c>
      <c r="D156" s="133" t="s">
        <v>301</v>
      </c>
      <c r="E156" s="213"/>
      <c r="F156" s="213"/>
      <c r="G156" s="214"/>
      <c r="H156" s="215"/>
      <c r="I156" s="215"/>
      <c r="J156" s="232">
        <v>-44.94</v>
      </c>
      <c r="K156" s="43">
        <f t="shared" si="7"/>
        <v>-44.94</v>
      </c>
      <c r="L156" s="43">
        <f t="shared" si="5"/>
        <v>6493.4399999999896</v>
      </c>
      <c r="M156" s="18" t="s">
        <v>90</v>
      </c>
    </row>
    <row r="157" spans="1:24" x14ac:dyDescent="0.3">
      <c r="A157" s="12"/>
      <c r="B157" s="106" t="s">
        <v>489</v>
      </c>
      <c r="C157" s="4" t="s">
        <v>607</v>
      </c>
      <c r="D157" s="133" t="s">
        <v>11</v>
      </c>
      <c r="E157" s="213"/>
      <c r="F157" s="213"/>
      <c r="G157" s="214"/>
      <c r="H157" s="215"/>
      <c r="I157" s="215"/>
      <c r="J157" s="232">
        <v>-46.45</v>
      </c>
      <c r="K157" s="43">
        <f t="shared" si="7"/>
        <v>-46.45</v>
      </c>
      <c r="L157" s="43">
        <f t="shared" si="5"/>
        <v>6446.9899999999898</v>
      </c>
    </row>
    <row r="158" spans="1:24" x14ac:dyDescent="0.3">
      <c r="A158" s="12"/>
      <c r="B158" s="106" t="s">
        <v>489</v>
      </c>
      <c r="C158" s="214" t="s">
        <v>1109</v>
      </c>
      <c r="D158" s="133" t="s">
        <v>12</v>
      </c>
      <c r="E158" s="213"/>
      <c r="F158" s="215"/>
      <c r="G158" s="214"/>
      <c r="H158" s="215"/>
      <c r="I158" s="215"/>
      <c r="J158" s="232">
        <v>-49</v>
      </c>
      <c r="K158" s="43">
        <f t="shared" si="7"/>
        <v>-49</v>
      </c>
      <c r="L158" s="43">
        <f t="shared" si="5"/>
        <v>6397.9899999999898</v>
      </c>
      <c r="M158" s="18" t="s">
        <v>90</v>
      </c>
    </row>
    <row r="159" spans="1:24" x14ac:dyDescent="0.3">
      <c r="A159" s="12"/>
      <c r="B159" s="106" t="s">
        <v>489</v>
      </c>
      <c r="C159" s="4" t="s">
        <v>48</v>
      </c>
      <c r="D159" s="133" t="s">
        <v>12</v>
      </c>
      <c r="E159" s="213"/>
      <c r="F159" s="215"/>
      <c r="G159" s="214"/>
      <c r="H159" s="215"/>
      <c r="I159" s="215"/>
      <c r="J159" s="232">
        <v>-72.42</v>
      </c>
      <c r="K159" s="43">
        <f t="shared" si="7"/>
        <v>-72.42</v>
      </c>
      <c r="L159" s="43">
        <f t="shared" si="5"/>
        <v>6325.5699999999897</v>
      </c>
      <c r="M159" s="18" t="s">
        <v>90</v>
      </c>
      <c r="X159"/>
    </row>
    <row r="160" spans="1:24" x14ac:dyDescent="0.3">
      <c r="B160" s="106" t="s">
        <v>489</v>
      </c>
      <c r="C160" s="4" t="s">
        <v>1544</v>
      </c>
      <c r="D160" s="133" t="s">
        <v>12</v>
      </c>
      <c r="E160" s="1" t="s">
        <v>344</v>
      </c>
      <c r="J160" s="43">
        <v>-210</v>
      </c>
      <c r="K160" s="43">
        <f t="shared" si="7"/>
        <v>-210</v>
      </c>
      <c r="L160" s="43">
        <f t="shared" si="5"/>
        <v>6115.5699999999897</v>
      </c>
      <c r="M160" s="18" t="s">
        <v>90</v>
      </c>
      <c r="P160" s="30" t="s">
        <v>1538</v>
      </c>
      <c r="Q160" s="30"/>
      <c r="R160" s="30"/>
      <c r="S160"/>
      <c r="T160"/>
      <c r="U160"/>
    </row>
    <row r="161" spans="1:22" x14ac:dyDescent="0.3">
      <c r="B161" s="106" t="s">
        <v>489</v>
      </c>
      <c r="C161" s="4" t="s">
        <v>1605</v>
      </c>
      <c r="D161" s="112" t="s">
        <v>500</v>
      </c>
      <c r="E161" s="121" t="s">
        <v>209</v>
      </c>
      <c r="F161" s="27"/>
      <c r="G161" s="33"/>
      <c r="H161" s="49">
        <v>50</v>
      </c>
      <c r="I161" s="171"/>
      <c r="J161" s="42"/>
      <c r="K161" s="43">
        <f t="shared" si="7"/>
        <v>50</v>
      </c>
      <c r="L161" s="43">
        <f t="shared" si="5"/>
        <v>6165.5699999999897</v>
      </c>
      <c r="M161" s="16" t="s">
        <v>412</v>
      </c>
      <c r="P161"/>
      <c r="Q161"/>
      <c r="R161"/>
      <c r="S161"/>
      <c r="T161"/>
      <c r="U161"/>
    </row>
    <row r="162" spans="1:22" x14ac:dyDescent="0.3">
      <c r="B162" s="106" t="s">
        <v>489</v>
      </c>
      <c r="C162" s="4" t="s">
        <v>1605</v>
      </c>
      <c r="D162" s="133" t="s">
        <v>512</v>
      </c>
      <c r="E162" s="269" t="s">
        <v>1604</v>
      </c>
      <c r="F162" s="269"/>
      <c r="G162" s="264"/>
      <c r="H162" s="240">
        <v>100</v>
      </c>
      <c r="I162" s="240"/>
      <c r="J162" s="270"/>
      <c r="K162" s="43">
        <f t="shared" si="7"/>
        <v>100</v>
      </c>
      <c r="L162" s="43">
        <f t="shared" si="5"/>
        <v>6265.5699999999897</v>
      </c>
      <c r="M162" s="18" t="s">
        <v>412</v>
      </c>
      <c r="P162" t="s">
        <v>584</v>
      </c>
      <c r="Q162"/>
      <c r="R162"/>
      <c r="S162"/>
      <c r="T162">
        <f>7847.07</f>
        <v>7847.07</v>
      </c>
      <c r="U162"/>
    </row>
    <row r="163" spans="1:22" x14ac:dyDescent="0.3">
      <c r="A163" s="40"/>
      <c r="B163" s="106" t="s">
        <v>489</v>
      </c>
      <c r="C163" s="4" t="s">
        <v>1605</v>
      </c>
      <c r="D163" s="112" t="s">
        <v>504</v>
      </c>
      <c r="E163" s="121" t="s">
        <v>1084</v>
      </c>
      <c r="F163" s="269"/>
      <c r="G163" s="264"/>
      <c r="H163" s="240"/>
      <c r="I163" s="240"/>
      <c r="J163" s="326">
        <v>-50</v>
      </c>
      <c r="K163" s="43">
        <f t="shared" si="7"/>
        <v>-50</v>
      </c>
      <c r="L163" s="43">
        <f t="shared" si="5"/>
        <v>6215.5699999999897</v>
      </c>
      <c r="M163" s="18" t="s">
        <v>90</v>
      </c>
      <c r="P163" t="s">
        <v>586</v>
      </c>
      <c r="Q163"/>
      <c r="R163"/>
      <c r="S163"/>
      <c r="T163"/>
      <c r="U163"/>
    </row>
    <row r="164" spans="1:22" x14ac:dyDescent="0.3">
      <c r="A164" s="12"/>
      <c r="B164" s="106" t="s">
        <v>489</v>
      </c>
      <c r="C164" s="214" t="s">
        <v>1606</v>
      </c>
      <c r="D164" s="133" t="s">
        <v>512</v>
      </c>
      <c r="E164" s="269" t="s">
        <v>1607</v>
      </c>
      <c r="F164" s="240"/>
      <c r="G164" s="264"/>
      <c r="H164" s="240">
        <v>610</v>
      </c>
      <c r="I164" s="240"/>
      <c r="J164" s="270"/>
      <c r="K164" s="43">
        <f t="shared" si="7"/>
        <v>610</v>
      </c>
      <c r="L164" s="43">
        <f t="shared" si="5"/>
        <v>6825.5699999999897</v>
      </c>
      <c r="M164" s="18" t="s">
        <v>90</v>
      </c>
      <c r="P164" t="s">
        <v>1531</v>
      </c>
      <c r="Q164"/>
      <c r="R164"/>
      <c r="S164" s="4">
        <v>-1096</v>
      </c>
    </row>
    <row r="165" spans="1:22" x14ac:dyDescent="0.3">
      <c r="B165" s="106" t="s">
        <v>489</v>
      </c>
      <c r="C165" s="4" t="s">
        <v>1429</v>
      </c>
      <c r="D165" s="133" t="s">
        <v>512</v>
      </c>
      <c r="E165" s="269" t="s">
        <v>1096</v>
      </c>
      <c r="F165" s="240"/>
      <c r="G165" s="264"/>
      <c r="H165" s="240">
        <v>400</v>
      </c>
      <c r="I165" s="240"/>
      <c r="J165" s="270"/>
      <c r="K165" s="43">
        <f t="shared" si="7"/>
        <v>400</v>
      </c>
      <c r="L165" s="43">
        <f t="shared" si="5"/>
        <v>7225.5699999999897</v>
      </c>
      <c r="M165" s="18" t="s">
        <v>90</v>
      </c>
      <c r="P165" t="s">
        <v>1559</v>
      </c>
      <c r="Q165"/>
      <c r="R165"/>
      <c r="S165" s="125">
        <v>-46.45</v>
      </c>
    </row>
    <row r="166" spans="1:22" x14ac:dyDescent="0.3">
      <c r="A166" s="26"/>
      <c r="B166" s="106" t="s">
        <v>489</v>
      </c>
      <c r="C166" s="4" t="s">
        <v>1315</v>
      </c>
      <c r="D166" s="132" t="s">
        <v>513</v>
      </c>
      <c r="E166" s="269"/>
      <c r="F166" s="240"/>
      <c r="G166" s="264"/>
      <c r="H166" s="327">
        <v>460.6</v>
      </c>
      <c r="I166" s="240"/>
      <c r="J166" s="271"/>
      <c r="K166" s="43">
        <f t="shared" si="7"/>
        <v>460.6</v>
      </c>
      <c r="L166" s="43">
        <f t="shared" si="5"/>
        <v>7686.1699999999901</v>
      </c>
      <c r="M166" s="18" t="s">
        <v>90</v>
      </c>
      <c r="P166" t="s">
        <v>1559</v>
      </c>
      <c r="Q166"/>
      <c r="R166"/>
      <c r="S166" s="125">
        <v>-46.45</v>
      </c>
    </row>
    <row r="167" spans="1:22" x14ac:dyDescent="0.3">
      <c r="A167" s="26"/>
      <c r="B167" s="106" t="s">
        <v>489</v>
      </c>
      <c r="C167" s="4" t="s">
        <v>1550</v>
      </c>
      <c r="D167" s="133" t="s">
        <v>518</v>
      </c>
      <c r="E167" s="269" t="s">
        <v>1608</v>
      </c>
      <c r="F167" s="240"/>
      <c r="G167" s="264"/>
      <c r="H167" s="240"/>
      <c r="I167" s="240"/>
      <c r="J167" s="272">
        <v>-250</v>
      </c>
      <c r="K167" s="43">
        <f t="shared" si="7"/>
        <v>-250</v>
      </c>
      <c r="L167" s="43">
        <f t="shared" si="5"/>
        <v>7436.1699999999901</v>
      </c>
      <c r="M167" s="18" t="s">
        <v>90</v>
      </c>
      <c r="P167" t="s">
        <v>1559</v>
      </c>
      <c r="Q167"/>
      <c r="R167"/>
      <c r="S167" s="125">
        <v>-46.45</v>
      </c>
      <c r="T167"/>
      <c r="U167" s="4"/>
    </row>
    <row r="168" spans="1:22" x14ac:dyDescent="0.3">
      <c r="B168" s="106" t="s">
        <v>489</v>
      </c>
      <c r="C168" s="4" t="s">
        <v>782</v>
      </c>
      <c r="D168" s="133" t="s">
        <v>518</v>
      </c>
      <c r="E168" s="168" t="s">
        <v>1609</v>
      </c>
      <c r="F168" s="52"/>
      <c r="G168" s="33"/>
      <c r="H168" s="42"/>
      <c r="I168" s="42"/>
      <c r="J168" s="227">
        <v>-567.9</v>
      </c>
      <c r="K168" s="43">
        <f t="shared" si="7"/>
        <v>-567.9</v>
      </c>
      <c r="L168" s="43">
        <f t="shared" si="5"/>
        <v>6868.2699999999904</v>
      </c>
      <c r="M168" s="18" t="s">
        <v>90</v>
      </c>
      <c r="P168" s="4"/>
      <c r="Q168" s="15"/>
      <c r="R168" s="11"/>
      <c r="S168" s="125"/>
      <c r="T168"/>
      <c r="U168" s="11"/>
    </row>
    <row r="169" spans="1:22" x14ac:dyDescent="0.3">
      <c r="B169" s="106" t="s">
        <v>489</v>
      </c>
      <c r="C169" s="4" t="s">
        <v>1591</v>
      </c>
      <c r="D169" s="112" t="s">
        <v>500</v>
      </c>
      <c r="E169" s="121" t="s">
        <v>1327</v>
      </c>
      <c r="F169" s="52"/>
      <c r="G169" s="207" t="s">
        <v>324</v>
      </c>
      <c r="H169" s="49">
        <v>50</v>
      </c>
      <c r="I169" s="42"/>
      <c r="J169" s="42"/>
      <c r="K169" s="43">
        <f t="shared" si="7"/>
        <v>50</v>
      </c>
      <c r="L169" s="43">
        <f t="shared" si="5"/>
        <v>6918.2699999999904</v>
      </c>
      <c r="M169" s="18" t="s">
        <v>412</v>
      </c>
      <c r="N169"/>
      <c r="P169" t="s">
        <v>1559</v>
      </c>
      <c r="Q169"/>
      <c r="R169"/>
      <c r="S169" s="125">
        <v>-46.45</v>
      </c>
    </row>
    <row r="170" spans="1:22" x14ac:dyDescent="0.3">
      <c r="B170" s="106" t="s">
        <v>489</v>
      </c>
      <c r="C170" s="4" t="s">
        <v>1591</v>
      </c>
      <c r="D170" s="133" t="s">
        <v>512</v>
      </c>
      <c r="E170" s="120" t="s">
        <v>1610</v>
      </c>
      <c r="F170" s="27"/>
      <c r="G170" s="33"/>
      <c r="H170" s="42">
        <v>100</v>
      </c>
      <c r="I170" s="42"/>
      <c r="J170" s="42"/>
      <c r="K170" s="43">
        <f t="shared" si="7"/>
        <v>100</v>
      </c>
      <c r="L170" s="43">
        <f t="shared" si="5"/>
        <v>7018.2699999999904</v>
      </c>
      <c r="M170" s="16" t="s">
        <v>412</v>
      </c>
      <c r="P170" t="s">
        <v>174</v>
      </c>
      <c r="S170" s="125">
        <v>4032</v>
      </c>
    </row>
    <row r="171" spans="1:22" x14ac:dyDescent="0.3">
      <c r="A171" s="29"/>
      <c r="B171" s="106" t="s">
        <v>489</v>
      </c>
      <c r="C171" s="4" t="s">
        <v>782</v>
      </c>
      <c r="D171" s="133" t="s">
        <v>518</v>
      </c>
      <c r="E171" s="120" t="s">
        <v>1611</v>
      </c>
      <c r="F171" s="27"/>
      <c r="G171" s="210"/>
      <c r="H171" s="42"/>
      <c r="I171" s="42"/>
      <c r="J171" s="170">
        <v>-360</v>
      </c>
      <c r="K171" s="43">
        <f t="shared" si="7"/>
        <v>-360</v>
      </c>
      <c r="L171" s="43">
        <f t="shared" si="5"/>
        <v>6658.2699999999904</v>
      </c>
      <c r="M171" s="16" t="s">
        <v>90</v>
      </c>
      <c r="P171" t="s">
        <v>1622</v>
      </c>
      <c r="S171" s="125">
        <v>300</v>
      </c>
      <c r="T171" t="s">
        <v>1181</v>
      </c>
    </row>
    <row r="172" spans="1:22" x14ac:dyDescent="0.3">
      <c r="B172" s="106" t="s">
        <v>489</v>
      </c>
      <c r="C172" s="1" t="s">
        <v>1612</v>
      </c>
      <c r="D172" s="112" t="s">
        <v>500</v>
      </c>
      <c r="E172" s="120" t="s">
        <v>1613</v>
      </c>
      <c r="F172" s="27"/>
      <c r="G172" s="48"/>
      <c r="H172" s="49">
        <v>183</v>
      </c>
      <c r="I172" s="42"/>
      <c r="J172" s="42"/>
      <c r="K172" s="43">
        <f t="shared" si="7"/>
        <v>183</v>
      </c>
      <c r="L172" s="43">
        <f t="shared" si="5"/>
        <v>6841.2699999999904</v>
      </c>
      <c r="M172" s="16" t="s">
        <v>90</v>
      </c>
    </row>
    <row r="173" spans="1:22" x14ac:dyDescent="0.3">
      <c r="A173" s="29"/>
      <c r="B173" s="106" t="s">
        <v>489</v>
      </c>
      <c r="C173" s="4" t="s">
        <v>1614</v>
      </c>
      <c r="D173" s="133" t="s">
        <v>512</v>
      </c>
      <c r="E173" s="120"/>
      <c r="F173" s="27"/>
      <c r="G173" s="33"/>
      <c r="H173" s="42">
        <v>24</v>
      </c>
      <c r="I173" s="42"/>
      <c r="J173" s="42"/>
      <c r="K173" s="43">
        <f t="shared" si="7"/>
        <v>24</v>
      </c>
      <c r="L173" s="43">
        <f t="shared" si="5"/>
        <v>6865.2699999999904</v>
      </c>
      <c r="M173" s="16" t="s">
        <v>90</v>
      </c>
    </row>
    <row r="174" spans="1:22" x14ac:dyDescent="0.3">
      <c r="B174" s="106" t="s">
        <v>489</v>
      </c>
      <c r="C174" s="4" t="s">
        <v>1429</v>
      </c>
      <c r="D174" s="112" t="s">
        <v>504</v>
      </c>
      <c r="E174" s="121" t="s">
        <v>1615</v>
      </c>
      <c r="F174" s="27"/>
      <c r="G174" s="210"/>
      <c r="H174" s="42"/>
      <c r="I174" s="42"/>
      <c r="J174" s="49">
        <v>-150</v>
      </c>
      <c r="K174" s="43">
        <f t="shared" si="7"/>
        <v>-150</v>
      </c>
      <c r="L174" s="43">
        <f t="shared" si="5"/>
        <v>6715.2699999999904</v>
      </c>
      <c r="M174" s="16" t="s">
        <v>90</v>
      </c>
      <c r="T174" s="11">
        <f>SUM(S164:S174)</f>
        <v>3050.2</v>
      </c>
    </row>
    <row r="175" spans="1:22" x14ac:dyDescent="0.3">
      <c r="B175" s="106" t="s">
        <v>489</v>
      </c>
      <c r="C175" s="4" t="s">
        <v>1606</v>
      </c>
      <c r="D175" s="112" t="s">
        <v>504</v>
      </c>
      <c r="E175" s="121" t="s">
        <v>916</v>
      </c>
      <c r="F175" s="27"/>
      <c r="G175" s="33"/>
      <c r="H175" s="42"/>
      <c r="I175" s="42"/>
      <c r="J175" s="49">
        <v>-150</v>
      </c>
      <c r="K175" s="43">
        <f t="shared" si="7"/>
        <v>-150</v>
      </c>
      <c r="L175" s="43">
        <f t="shared" si="5"/>
        <v>6565.2699999999904</v>
      </c>
      <c r="M175" s="16" t="s">
        <v>90</v>
      </c>
    </row>
    <row r="176" spans="1:22" x14ac:dyDescent="0.3">
      <c r="B176" s="106" t="s">
        <v>489</v>
      </c>
      <c r="C176" s="4" t="s">
        <v>174</v>
      </c>
      <c r="D176" s="132" t="s">
        <v>513</v>
      </c>
      <c r="E176" s="168" t="s">
        <v>1182</v>
      </c>
      <c r="F176" s="27"/>
      <c r="G176" s="33"/>
      <c r="H176" s="51">
        <v>4032</v>
      </c>
      <c r="I176" s="171"/>
      <c r="J176" s="42"/>
      <c r="K176" s="43">
        <f t="shared" si="7"/>
        <v>4032</v>
      </c>
      <c r="L176" s="43">
        <f t="shared" si="5"/>
        <v>10597.26999999999</v>
      </c>
      <c r="P176" t="s">
        <v>652</v>
      </c>
      <c r="Q176"/>
      <c r="R176"/>
      <c r="S176"/>
      <c r="T176" s="23"/>
      <c r="U176" s="74">
        <f>T162+T174</f>
        <v>10897.27</v>
      </c>
      <c r="V176" s="23" t="s">
        <v>588</v>
      </c>
    </row>
    <row r="177" spans="1:23" x14ac:dyDescent="0.3">
      <c r="A177" s="12"/>
      <c r="B177" s="106" t="s">
        <v>489</v>
      </c>
      <c r="C177" s="4" t="s">
        <v>346</v>
      </c>
      <c r="D177" s="132" t="s">
        <v>513</v>
      </c>
      <c r="E177" s="120" t="s">
        <v>347</v>
      </c>
      <c r="F177" s="52"/>
      <c r="G177" s="33"/>
      <c r="H177" s="51">
        <v>300</v>
      </c>
      <c r="I177" s="42"/>
      <c r="J177" s="42"/>
      <c r="K177" s="43">
        <f t="shared" si="7"/>
        <v>300</v>
      </c>
      <c r="L177" s="75">
        <f t="shared" si="5"/>
        <v>10897.26999999999</v>
      </c>
      <c r="M177" s="16"/>
      <c r="N177"/>
    </row>
    <row r="178" spans="1:23" x14ac:dyDescent="0.3">
      <c r="B178" s="109"/>
      <c r="C178" s="4"/>
      <c r="D178" s="133"/>
      <c r="E178" s="269"/>
      <c r="F178" s="269"/>
      <c r="G178" s="264"/>
      <c r="H178" s="240"/>
      <c r="I178" s="240"/>
      <c r="J178" s="270"/>
      <c r="K178" s="43">
        <f t="shared" si="7"/>
        <v>0</v>
      </c>
      <c r="L178" s="43">
        <f t="shared" si="5"/>
        <v>10897.26999999999</v>
      </c>
      <c r="M178" s="16"/>
      <c r="U178"/>
    </row>
    <row r="179" spans="1:23" x14ac:dyDescent="0.3">
      <c r="A179" s="28" t="s">
        <v>1453</v>
      </c>
      <c r="B179" s="109" t="s">
        <v>490</v>
      </c>
      <c r="C179" s="4" t="s">
        <v>58</v>
      </c>
      <c r="D179" s="132" t="s">
        <v>9</v>
      </c>
      <c r="E179" s="1" t="s">
        <v>344</v>
      </c>
      <c r="J179" s="42">
        <v>-108.68</v>
      </c>
      <c r="K179" s="43">
        <f t="shared" si="7"/>
        <v>-108.68</v>
      </c>
      <c r="L179" s="43">
        <f t="shared" si="5"/>
        <v>10788.589999999989</v>
      </c>
      <c r="M179" s="16" t="s">
        <v>90</v>
      </c>
      <c r="U179"/>
    </row>
    <row r="180" spans="1:23" x14ac:dyDescent="0.3">
      <c r="A180" s="12"/>
      <c r="B180" s="109" t="s">
        <v>490</v>
      </c>
      <c r="C180" s="4" t="s">
        <v>58</v>
      </c>
      <c r="D180" s="133" t="s">
        <v>8</v>
      </c>
      <c r="E180" s="1" t="s">
        <v>344</v>
      </c>
      <c r="F180" s="27"/>
      <c r="G180" s="33"/>
      <c r="H180" s="42"/>
      <c r="I180" s="171"/>
      <c r="J180" s="42">
        <v>-24.79</v>
      </c>
      <c r="K180" s="43">
        <f t="shared" si="7"/>
        <v>-24.79</v>
      </c>
      <c r="L180" s="43">
        <f>L179+K180</f>
        <v>10763.799999999988</v>
      </c>
      <c r="M180" s="16" t="s">
        <v>90</v>
      </c>
      <c r="U180"/>
      <c r="W180"/>
    </row>
    <row r="181" spans="1:23" x14ac:dyDescent="0.3">
      <c r="B181" s="109" t="s">
        <v>490</v>
      </c>
      <c r="C181" s="4" t="s">
        <v>299</v>
      </c>
      <c r="D181" s="133" t="s">
        <v>301</v>
      </c>
      <c r="E181" s="213"/>
      <c r="F181" s="213"/>
      <c r="G181" s="214"/>
      <c r="H181" s="215"/>
      <c r="I181" s="215"/>
      <c r="J181" s="232">
        <v>-44.94</v>
      </c>
      <c r="K181" s="43">
        <f t="shared" si="7"/>
        <v>-44.94</v>
      </c>
      <c r="L181" s="43">
        <f>L180+K181</f>
        <v>10718.859999999988</v>
      </c>
      <c r="M181" s="16" t="s">
        <v>90</v>
      </c>
      <c r="U181"/>
      <c r="W181"/>
    </row>
    <row r="182" spans="1:23" x14ac:dyDescent="0.3">
      <c r="A182" s="12"/>
      <c r="B182" s="109" t="s">
        <v>490</v>
      </c>
      <c r="C182" s="4" t="s">
        <v>607</v>
      </c>
      <c r="D182" s="133" t="s">
        <v>11</v>
      </c>
      <c r="E182" s="213"/>
      <c r="F182" s="213"/>
      <c r="G182" s="214"/>
      <c r="H182" s="215"/>
      <c r="I182" s="215"/>
      <c r="J182" s="232">
        <v>-46.45</v>
      </c>
      <c r="K182" s="43">
        <f t="shared" si="7"/>
        <v>-46.45</v>
      </c>
      <c r="L182" s="43">
        <f>L181+K182</f>
        <v>10672.409999999987</v>
      </c>
      <c r="M182" s="16"/>
      <c r="U182"/>
      <c r="W182"/>
    </row>
    <row r="183" spans="1:23" x14ac:dyDescent="0.3">
      <c r="A183" s="12"/>
      <c r="B183" s="109" t="s">
        <v>490</v>
      </c>
      <c r="C183" s="214" t="s">
        <v>1109</v>
      </c>
      <c r="D183" s="133" t="s">
        <v>12</v>
      </c>
      <c r="E183" s="213"/>
      <c r="F183" s="215"/>
      <c r="G183" s="214"/>
      <c r="H183" s="215"/>
      <c r="I183" s="215"/>
      <c r="J183" s="232">
        <v>-44.21</v>
      </c>
      <c r="K183" s="43">
        <f t="shared" ref="K183:K203" si="8">H183+J183</f>
        <v>-44.21</v>
      </c>
      <c r="L183" s="43">
        <f t="shared" ref="L183:L218" si="9">L182+K183</f>
        <v>10628.199999999988</v>
      </c>
      <c r="M183" s="16" t="s">
        <v>90</v>
      </c>
      <c r="U183"/>
      <c r="W183"/>
    </row>
    <row r="184" spans="1:23" x14ac:dyDescent="0.3">
      <c r="A184" s="12"/>
      <c r="B184" s="109" t="s">
        <v>490</v>
      </c>
      <c r="C184" s="4" t="s">
        <v>48</v>
      </c>
      <c r="D184" s="133" t="s">
        <v>12</v>
      </c>
      <c r="E184" s="213"/>
      <c r="F184" s="215"/>
      <c r="G184" s="214"/>
      <c r="H184" s="215"/>
      <c r="I184" s="215"/>
      <c r="J184" s="232">
        <v>-72.42</v>
      </c>
      <c r="K184" s="43">
        <f t="shared" si="8"/>
        <v>-72.42</v>
      </c>
      <c r="L184" s="43">
        <f t="shared" si="9"/>
        <v>10555.779999999988</v>
      </c>
      <c r="M184" s="16" t="s">
        <v>90</v>
      </c>
      <c r="U184"/>
      <c r="W184"/>
    </row>
    <row r="185" spans="1:23" x14ac:dyDescent="0.3">
      <c r="A185" s="12"/>
      <c r="B185" s="109" t="s">
        <v>490</v>
      </c>
      <c r="C185" s="4" t="s">
        <v>1544</v>
      </c>
      <c r="D185" s="133" t="s">
        <v>12</v>
      </c>
      <c r="E185" s="1" t="s">
        <v>835</v>
      </c>
      <c r="J185" s="43">
        <v>-225</v>
      </c>
      <c r="K185" s="43">
        <f t="shared" si="8"/>
        <v>-225</v>
      </c>
      <c r="L185" s="43">
        <f t="shared" si="9"/>
        <v>10330.779999999988</v>
      </c>
      <c r="M185" s="16"/>
      <c r="U185"/>
      <c r="W185"/>
    </row>
    <row r="186" spans="1:23" x14ac:dyDescent="0.3">
      <c r="A186" s="12"/>
      <c r="B186" s="109" t="s">
        <v>490</v>
      </c>
      <c r="C186" s="1" t="s">
        <v>1617</v>
      </c>
      <c r="D186" s="132" t="s">
        <v>513</v>
      </c>
      <c r="E186" s="168"/>
      <c r="F186" s="27"/>
      <c r="G186" s="33"/>
      <c r="H186" s="51">
        <v>60</v>
      </c>
      <c r="I186" s="42"/>
      <c r="J186" s="42"/>
      <c r="K186" s="43">
        <f t="shared" si="8"/>
        <v>60</v>
      </c>
      <c r="L186" s="43">
        <f t="shared" si="9"/>
        <v>10390.779999999988</v>
      </c>
      <c r="M186" s="16" t="s">
        <v>90</v>
      </c>
      <c r="P186"/>
      <c r="Q186"/>
      <c r="R186"/>
      <c r="S186" s="4"/>
      <c r="T186"/>
      <c r="U186"/>
      <c r="W186"/>
    </row>
    <row r="187" spans="1:23" x14ac:dyDescent="0.3">
      <c r="A187" s="12"/>
      <c r="B187" s="109" t="s">
        <v>490</v>
      </c>
      <c r="C187" s="1" t="s">
        <v>1618</v>
      </c>
      <c r="D187" s="133" t="s">
        <v>513</v>
      </c>
      <c r="E187" s="168"/>
      <c r="F187" s="27"/>
      <c r="G187" s="33"/>
      <c r="H187" s="51">
        <v>130</v>
      </c>
      <c r="I187" s="42"/>
      <c r="J187" s="42"/>
      <c r="K187" s="43">
        <f t="shared" si="8"/>
        <v>130</v>
      </c>
      <c r="L187" s="43">
        <f t="shared" si="9"/>
        <v>10520.779999999988</v>
      </c>
      <c r="M187" s="16" t="s">
        <v>90</v>
      </c>
      <c r="P187"/>
      <c r="Q187"/>
      <c r="R187"/>
      <c r="S187" s="4"/>
      <c r="T187"/>
      <c r="U187"/>
      <c r="W187"/>
    </row>
    <row r="188" spans="1:23" x14ac:dyDescent="0.3">
      <c r="A188" s="12"/>
      <c r="B188" s="109" t="s">
        <v>490</v>
      </c>
      <c r="C188" s="1" t="s">
        <v>1584</v>
      </c>
      <c r="D188" s="133" t="s">
        <v>518</v>
      </c>
      <c r="E188" s="168" t="s">
        <v>1619</v>
      </c>
      <c r="F188" s="27"/>
      <c r="G188" s="33"/>
      <c r="H188" s="42"/>
      <c r="I188" s="42"/>
      <c r="J188" s="42">
        <v>-119.9</v>
      </c>
      <c r="K188" s="43">
        <f t="shared" si="8"/>
        <v>-119.9</v>
      </c>
      <c r="L188" s="43">
        <f t="shared" si="9"/>
        <v>10400.879999999988</v>
      </c>
      <c r="M188" s="16" t="s">
        <v>90</v>
      </c>
      <c r="P188"/>
      <c r="Q188"/>
      <c r="R188"/>
      <c r="S188" s="4"/>
      <c r="T188"/>
      <c r="U188"/>
      <c r="W188"/>
    </row>
    <row r="189" spans="1:23" x14ac:dyDescent="0.3">
      <c r="A189" s="12"/>
      <c r="B189" s="109" t="s">
        <v>490</v>
      </c>
      <c r="C189" s="1" t="s">
        <v>234</v>
      </c>
      <c r="D189" s="133" t="s">
        <v>518</v>
      </c>
      <c r="E189" s="168" t="s">
        <v>1620</v>
      </c>
      <c r="F189" s="27"/>
      <c r="G189" s="33"/>
      <c r="H189" s="42"/>
      <c r="I189" s="42"/>
      <c r="J189" s="42">
        <v>-60</v>
      </c>
      <c r="K189" s="43">
        <f t="shared" si="8"/>
        <v>-60</v>
      </c>
      <c r="L189" s="43">
        <f t="shared" si="9"/>
        <v>10340.879999999988</v>
      </c>
      <c r="M189" s="16" t="s">
        <v>90</v>
      </c>
      <c r="P189"/>
      <c r="Q189"/>
      <c r="R189"/>
      <c r="S189" s="4"/>
      <c r="T189"/>
      <c r="U189"/>
      <c r="W189"/>
    </row>
    <row r="190" spans="1:23" x14ac:dyDescent="0.3">
      <c r="A190" s="12"/>
      <c r="B190" s="109" t="s">
        <v>490</v>
      </c>
      <c r="C190" s="1" t="s">
        <v>380</v>
      </c>
      <c r="D190" s="116" t="s">
        <v>621</v>
      </c>
      <c r="E190" s="168" t="s">
        <v>1230</v>
      </c>
      <c r="F190" s="27"/>
      <c r="G190" s="120" t="s">
        <v>1072</v>
      </c>
      <c r="H190" s="42"/>
      <c r="I190" s="42"/>
      <c r="J190" s="42">
        <v>-7.95</v>
      </c>
      <c r="K190" s="43">
        <f t="shared" si="8"/>
        <v>-7.95</v>
      </c>
      <c r="L190" s="43">
        <f t="shared" si="9"/>
        <v>10332.929999999988</v>
      </c>
      <c r="M190" s="16" t="s">
        <v>90</v>
      </c>
      <c r="P190"/>
      <c r="Q190"/>
      <c r="R190"/>
      <c r="S190" s="4"/>
      <c r="T190"/>
      <c r="U190"/>
      <c r="W190"/>
    </row>
    <row r="191" spans="1:23" x14ac:dyDescent="0.3">
      <c r="A191" s="12"/>
      <c r="B191" s="109" t="s">
        <v>490</v>
      </c>
      <c r="C191" s="1" t="s">
        <v>444</v>
      </c>
      <c r="D191" s="116" t="s">
        <v>621</v>
      </c>
      <c r="E191" s="168" t="s">
        <v>1621</v>
      </c>
      <c r="F191" s="27"/>
      <c r="G191" s="33">
        <v>500144</v>
      </c>
      <c r="H191" s="42"/>
      <c r="I191" s="42"/>
      <c r="J191" s="42">
        <v>-9.32</v>
      </c>
      <c r="K191" s="43">
        <f t="shared" si="8"/>
        <v>-9.32</v>
      </c>
      <c r="L191" s="43">
        <f t="shared" si="9"/>
        <v>10323.609999999988</v>
      </c>
      <c r="M191" s="16"/>
      <c r="P191"/>
      <c r="Q191"/>
      <c r="R191"/>
      <c r="S191" s="4"/>
      <c r="T191"/>
      <c r="U191"/>
      <c r="W191"/>
    </row>
    <row r="192" spans="1:23" x14ac:dyDescent="0.3">
      <c r="A192" s="12"/>
      <c r="B192" s="109" t="s">
        <v>490</v>
      </c>
      <c r="C192" s="1" t="s">
        <v>142</v>
      </c>
      <c r="D192" s="132" t="s">
        <v>513</v>
      </c>
      <c r="E192" s="168"/>
      <c r="F192" s="27"/>
      <c r="G192" s="33"/>
      <c r="H192" s="51">
        <v>238.88</v>
      </c>
      <c r="I192" s="42"/>
      <c r="J192" s="42"/>
      <c r="K192" s="43">
        <f t="shared" si="8"/>
        <v>238.88</v>
      </c>
      <c r="L192" s="43">
        <f t="shared" si="9"/>
        <v>10562.489999999987</v>
      </c>
      <c r="M192" s="16" t="s">
        <v>90</v>
      </c>
      <c r="P192"/>
      <c r="Q192"/>
      <c r="R192"/>
      <c r="S192" s="4"/>
      <c r="T192"/>
      <c r="U192"/>
      <c r="W192"/>
    </row>
    <row r="193" spans="1:24" x14ac:dyDescent="0.3">
      <c r="A193" s="12"/>
      <c r="B193" s="109" t="s">
        <v>490</v>
      </c>
      <c r="C193" s="1"/>
      <c r="D193" s="133"/>
      <c r="E193" s="168"/>
      <c r="F193" s="27"/>
      <c r="G193" s="33"/>
      <c r="H193" s="42"/>
      <c r="I193" s="42"/>
      <c r="J193" s="42"/>
      <c r="K193" s="43">
        <f t="shared" si="8"/>
        <v>0</v>
      </c>
      <c r="L193" s="43">
        <f t="shared" si="9"/>
        <v>10562.489999999987</v>
      </c>
      <c r="M193" s="16"/>
      <c r="P193" s="30" t="s">
        <v>1539</v>
      </c>
      <c r="Q193" s="30"/>
      <c r="R193" s="30"/>
      <c r="S193"/>
      <c r="T193"/>
      <c r="U193"/>
      <c r="W193"/>
    </row>
    <row r="194" spans="1:24" x14ac:dyDescent="0.3">
      <c r="A194" s="12"/>
      <c r="B194" s="109" t="s">
        <v>490</v>
      </c>
      <c r="C194" s="1" t="s">
        <v>1623</v>
      </c>
      <c r="D194" s="133" t="s">
        <v>512</v>
      </c>
      <c r="E194" s="168"/>
      <c r="F194" s="27"/>
      <c r="G194" s="33"/>
      <c r="H194" s="43">
        <v>60</v>
      </c>
      <c r="I194" s="42"/>
      <c r="J194" s="42"/>
      <c r="K194" s="43">
        <f t="shared" si="8"/>
        <v>60</v>
      </c>
      <c r="L194" s="43">
        <f t="shared" si="9"/>
        <v>10622.489999999987</v>
      </c>
      <c r="M194" s="16" t="s">
        <v>90</v>
      </c>
      <c r="P194"/>
      <c r="Q194"/>
      <c r="R194"/>
      <c r="S194"/>
      <c r="T194"/>
      <c r="U194"/>
      <c r="W194"/>
    </row>
    <row r="195" spans="1:24" x14ac:dyDescent="0.3">
      <c r="A195" s="12"/>
      <c r="B195" s="109" t="s">
        <v>490</v>
      </c>
      <c r="C195" s="1" t="s">
        <v>1591</v>
      </c>
      <c r="D195" s="133" t="s">
        <v>512</v>
      </c>
      <c r="E195" s="168"/>
      <c r="F195" s="27"/>
      <c r="G195" s="33"/>
      <c r="H195" s="42">
        <v>60</v>
      </c>
      <c r="I195" s="42"/>
      <c r="J195" s="42"/>
      <c r="K195" s="43">
        <f t="shared" si="8"/>
        <v>60</v>
      </c>
      <c r="L195" s="43">
        <f t="shared" si="9"/>
        <v>10682.489999999987</v>
      </c>
      <c r="M195" s="16" t="s">
        <v>1634</v>
      </c>
      <c r="P195" t="s">
        <v>584</v>
      </c>
      <c r="Q195"/>
      <c r="R195"/>
      <c r="S195"/>
      <c r="T195"/>
      <c r="U195">
        <f>8803.06</f>
        <v>8803.06</v>
      </c>
      <c r="W195"/>
    </row>
    <row r="196" spans="1:24" x14ac:dyDescent="0.3">
      <c r="A196" s="12"/>
      <c r="B196" s="109" t="s">
        <v>490</v>
      </c>
      <c r="C196" s="1" t="s">
        <v>604</v>
      </c>
      <c r="D196" s="133" t="s">
        <v>512</v>
      </c>
      <c r="E196" s="168"/>
      <c r="F196" s="27"/>
      <c r="G196" s="33"/>
      <c r="H196" s="42">
        <v>10</v>
      </c>
      <c r="I196" s="42"/>
      <c r="J196" s="42"/>
      <c r="K196" s="43">
        <f t="shared" si="8"/>
        <v>10</v>
      </c>
      <c r="L196" s="43">
        <f t="shared" si="9"/>
        <v>10692.489999999987</v>
      </c>
      <c r="M196" s="16"/>
      <c r="P196" t="s">
        <v>586</v>
      </c>
      <c r="Q196"/>
      <c r="R196"/>
      <c r="S196"/>
      <c r="T196"/>
      <c r="U196"/>
      <c r="W196"/>
    </row>
    <row r="197" spans="1:24" x14ac:dyDescent="0.3">
      <c r="A197" s="12"/>
      <c r="B197" s="109" t="s">
        <v>490</v>
      </c>
      <c r="C197" s="1" t="s">
        <v>1365</v>
      </c>
      <c r="D197" s="133" t="s">
        <v>512</v>
      </c>
      <c r="E197" s="168" t="s">
        <v>1690</v>
      </c>
      <c r="F197" s="27"/>
      <c r="G197" s="33"/>
      <c r="H197" s="42">
        <v>50</v>
      </c>
      <c r="I197" s="42"/>
      <c r="J197" s="42"/>
      <c r="K197" s="43">
        <f t="shared" si="8"/>
        <v>50</v>
      </c>
      <c r="L197" s="43">
        <f t="shared" si="9"/>
        <v>10742.489999999987</v>
      </c>
      <c r="M197" s="16" t="s">
        <v>572</v>
      </c>
      <c r="P197" t="s">
        <v>1531</v>
      </c>
      <c r="Q197"/>
      <c r="R197"/>
      <c r="S197" s="4">
        <v>-1096</v>
      </c>
      <c r="T197"/>
      <c r="U197"/>
      <c r="W197"/>
    </row>
    <row r="198" spans="1:24" x14ac:dyDescent="0.3">
      <c r="A198" s="12"/>
      <c r="B198" s="109" t="s">
        <v>490</v>
      </c>
      <c r="C198" s="1" t="s">
        <v>1365</v>
      </c>
      <c r="D198" s="112" t="s">
        <v>504</v>
      </c>
      <c r="E198" s="121" t="s">
        <v>1689</v>
      </c>
      <c r="F198" s="27"/>
      <c r="G198" s="33"/>
      <c r="H198" s="42"/>
      <c r="I198" s="42"/>
      <c r="J198" s="49">
        <v>-50</v>
      </c>
      <c r="K198" s="43">
        <f>H198+J198</f>
        <v>-50</v>
      </c>
      <c r="L198" s="43">
        <f t="shared" si="9"/>
        <v>10692.489999999987</v>
      </c>
      <c r="M198" s="16" t="s">
        <v>572</v>
      </c>
      <c r="P198"/>
      <c r="Q198"/>
      <c r="R198"/>
      <c r="S198" s="4"/>
      <c r="T198"/>
      <c r="U198"/>
      <c r="W198"/>
    </row>
    <row r="199" spans="1:24" x14ac:dyDescent="0.3">
      <c r="A199" s="12"/>
      <c r="B199" s="109" t="s">
        <v>490</v>
      </c>
      <c r="C199" s="1" t="s">
        <v>1624</v>
      </c>
      <c r="D199" s="133" t="s">
        <v>512</v>
      </c>
      <c r="E199" s="168"/>
      <c r="F199" s="27"/>
      <c r="G199" s="33"/>
      <c r="H199" s="42">
        <v>80</v>
      </c>
      <c r="I199" s="42"/>
      <c r="J199" s="42"/>
      <c r="K199" s="43">
        <f t="shared" si="8"/>
        <v>80</v>
      </c>
      <c r="L199" s="43">
        <f t="shared" si="9"/>
        <v>10772.489999999987</v>
      </c>
      <c r="M199" s="16" t="s">
        <v>90</v>
      </c>
      <c r="P199" t="s">
        <v>1559</v>
      </c>
      <c r="Q199"/>
      <c r="R199"/>
      <c r="S199" s="125">
        <v>-46.45</v>
      </c>
      <c r="T199" t="s">
        <v>1659</v>
      </c>
      <c r="U199"/>
      <c r="W199"/>
    </row>
    <row r="200" spans="1:24" x14ac:dyDescent="0.3">
      <c r="A200" s="12"/>
      <c r="B200" s="109" t="s">
        <v>490</v>
      </c>
      <c r="C200" s="1" t="s">
        <v>1624</v>
      </c>
      <c r="D200" s="112" t="s">
        <v>500</v>
      </c>
      <c r="E200" s="121" t="s">
        <v>241</v>
      </c>
      <c r="F200" s="27"/>
      <c r="G200" s="210"/>
      <c r="H200" s="49">
        <v>50</v>
      </c>
      <c r="I200" s="42"/>
      <c r="J200" s="42"/>
      <c r="K200" s="43">
        <f t="shared" si="8"/>
        <v>50</v>
      </c>
      <c r="L200" s="43">
        <f t="shared" si="9"/>
        <v>10822.489999999987</v>
      </c>
      <c r="M200" s="16" t="s">
        <v>90</v>
      </c>
      <c r="P200" t="s">
        <v>1559</v>
      </c>
      <c r="Q200"/>
      <c r="R200"/>
      <c r="S200" s="125">
        <v>-46.45</v>
      </c>
      <c r="T200" t="s">
        <v>1660</v>
      </c>
      <c r="U200"/>
      <c r="W200"/>
    </row>
    <row r="201" spans="1:24" x14ac:dyDescent="0.3">
      <c r="A201" s="12"/>
      <c r="B201" s="109" t="s">
        <v>490</v>
      </c>
      <c r="C201" s="1" t="s">
        <v>1625</v>
      </c>
      <c r="D201" s="133" t="s">
        <v>512</v>
      </c>
      <c r="E201" s="168"/>
      <c r="F201" s="27"/>
      <c r="G201" s="33"/>
      <c r="H201" s="42">
        <v>60</v>
      </c>
      <c r="I201" s="42"/>
      <c r="J201" s="42"/>
      <c r="K201" s="43">
        <f t="shared" si="8"/>
        <v>60</v>
      </c>
      <c r="L201" s="43">
        <f t="shared" si="9"/>
        <v>10882.489999999987</v>
      </c>
      <c r="M201" s="16" t="s">
        <v>412</v>
      </c>
      <c r="P201" t="s">
        <v>1559</v>
      </c>
      <c r="Q201"/>
      <c r="R201"/>
      <c r="S201" s="125">
        <v>-46.45</v>
      </c>
      <c r="T201" t="s">
        <v>1661</v>
      </c>
      <c r="U201"/>
      <c r="W201"/>
    </row>
    <row r="202" spans="1:24" x14ac:dyDescent="0.3">
      <c r="A202" s="12"/>
      <c r="B202" s="109" t="s">
        <v>490</v>
      </c>
      <c r="C202" s="1" t="s">
        <v>1625</v>
      </c>
      <c r="D202" s="133" t="s">
        <v>500</v>
      </c>
      <c r="E202" s="191" t="s">
        <v>242</v>
      </c>
      <c r="F202" s="27"/>
      <c r="G202" s="210"/>
      <c r="H202" s="49">
        <v>50</v>
      </c>
      <c r="I202" s="42"/>
      <c r="J202" s="42"/>
      <c r="K202" s="43">
        <f t="shared" si="8"/>
        <v>50</v>
      </c>
      <c r="L202" s="43">
        <f t="shared" si="9"/>
        <v>10932.489999999987</v>
      </c>
      <c r="M202" s="16" t="s">
        <v>412</v>
      </c>
      <c r="P202" s="4" t="s">
        <v>1559</v>
      </c>
      <c r="Q202" s="15"/>
      <c r="R202" s="11"/>
      <c r="S202" s="125">
        <v>-46.45</v>
      </c>
      <c r="T202" t="s">
        <v>1662</v>
      </c>
      <c r="U202"/>
      <c r="W202"/>
    </row>
    <row r="203" spans="1:24" x14ac:dyDescent="0.3">
      <c r="A203" s="12"/>
      <c r="B203" s="109" t="s">
        <v>490</v>
      </c>
      <c r="C203" s="4" t="s">
        <v>1626</v>
      </c>
      <c r="D203" s="133" t="s">
        <v>512</v>
      </c>
      <c r="E203" s="120"/>
      <c r="F203" s="27"/>
      <c r="G203" s="33"/>
      <c r="H203" s="42">
        <v>80</v>
      </c>
      <c r="I203" s="42"/>
      <c r="J203" s="42"/>
      <c r="K203" s="43">
        <f t="shared" si="8"/>
        <v>80</v>
      </c>
      <c r="L203" s="43">
        <f t="shared" si="9"/>
        <v>11012.489999999987</v>
      </c>
      <c r="M203" s="16" t="s">
        <v>412</v>
      </c>
      <c r="P203" t="s">
        <v>1559</v>
      </c>
      <c r="Q203"/>
      <c r="R203"/>
      <c r="S203" s="125">
        <v>-46.45</v>
      </c>
      <c r="T203" t="s">
        <v>1663</v>
      </c>
      <c r="U203" s="18"/>
    </row>
    <row r="204" spans="1:24" x14ac:dyDescent="0.3">
      <c r="A204" s="12"/>
      <c r="B204" s="109" t="s">
        <v>490</v>
      </c>
      <c r="C204" s="4" t="s">
        <v>1626</v>
      </c>
      <c r="D204" s="133" t="s">
        <v>500</v>
      </c>
      <c r="E204" s="191" t="s">
        <v>1340</v>
      </c>
      <c r="F204" s="27"/>
      <c r="G204" s="210"/>
      <c r="H204" s="49">
        <v>50</v>
      </c>
      <c r="I204" s="42"/>
      <c r="J204" s="42"/>
      <c r="K204" s="43">
        <f t="shared" si="7"/>
        <v>50</v>
      </c>
      <c r="L204" s="43">
        <f t="shared" si="9"/>
        <v>11062.489999999987</v>
      </c>
      <c r="M204" s="16" t="s">
        <v>412</v>
      </c>
      <c r="P204" t="s">
        <v>174</v>
      </c>
      <c r="S204" s="125">
        <v>4032</v>
      </c>
      <c r="T204" t="s">
        <v>1640</v>
      </c>
      <c r="U204"/>
    </row>
    <row r="205" spans="1:24" x14ac:dyDescent="0.3">
      <c r="B205" s="109" t="s">
        <v>490</v>
      </c>
      <c r="C205" s="4" t="s">
        <v>762</v>
      </c>
      <c r="D205" s="133"/>
      <c r="E205" s="120"/>
      <c r="F205" s="27"/>
      <c r="G205" s="120"/>
      <c r="H205" s="42"/>
      <c r="I205" s="42"/>
      <c r="J205" s="42"/>
      <c r="K205" s="43">
        <f t="shared" si="7"/>
        <v>0</v>
      </c>
      <c r="L205" s="43">
        <f t="shared" si="9"/>
        <v>11062.489999999987</v>
      </c>
      <c r="M205" s="16"/>
      <c r="N205"/>
      <c r="P205" t="s">
        <v>1546</v>
      </c>
      <c r="Q205"/>
      <c r="R205"/>
      <c r="S205" s="4">
        <v>-225</v>
      </c>
      <c r="T205" t="s">
        <v>1640</v>
      </c>
      <c r="U205"/>
      <c r="W205"/>
    </row>
    <row r="206" spans="1:24" x14ac:dyDescent="0.3">
      <c r="B206" s="109" t="s">
        <v>490</v>
      </c>
      <c r="C206" s="4" t="s">
        <v>762</v>
      </c>
      <c r="D206" s="133"/>
      <c r="E206" s="210"/>
      <c r="F206" s="27"/>
      <c r="G206" s="210"/>
      <c r="H206" s="42"/>
      <c r="I206" s="42"/>
      <c r="J206" s="42"/>
      <c r="K206" s="43">
        <f t="shared" si="7"/>
        <v>0</v>
      </c>
      <c r="L206" s="43">
        <f t="shared" si="9"/>
        <v>11062.489999999987</v>
      </c>
      <c r="M206" s="16"/>
      <c r="N206"/>
      <c r="P206" s="4" t="s">
        <v>1637</v>
      </c>
      <c r="Q206" s="15"/>
      <c r="S206" s="4">
        <v>-9.32</v>
      </c>
      <c r="T206" t="s">
        <v>1640</v>
      </c>
      <c r="U206"/>
      <c r="V206"/>
    </row>
    <row r="207" spans="1:24" x14ac:dyDescent="0.3">
      <c r="A207" s="12"/>
      <c r="B207" s="109" t="s">
        <v>490</v>
      </c>
      <c r="C207" s="4" t="s">
        <v>1627</v>
      </c>
      <c r="D207" s="133" t="s">
        <v>512</v>
      </c>
      <c r="E207" s="120" t="s">
        <v>1628</v>
      </c>
      <c r="F207" s="27"/>
      <c r="G207" s="33"/>
      <c r="H207" s="42">
        <v>120</v>
      </c>
      <c r="I207" s="42"/>
      <c r="J207" s="42"/>
      <c r="K207" s="43">
        <f t="shared" si="7"/>
        <v>120</v>
      </c>
      <c r="L207" s="43">
        <f t="shared" si="9"/>
        <v>11182.489999999987</v>
      </c>
      <c r="M207" s="16"/>
      <c r="P207" s="4" t="s">
        <v>604</v>
      </c>
      <c r="Q207" s="15"/>
      <c r="S207" s="4">
        <v>10</v>
      </c>
      <c r="T207"/>
      <c r="U207"/>
      <c r="X207"/>
    </row>
    <row r="208" spans="1:24" x14ac:dyDescent="0.3">
      <c r="B208" s="109" t="s">
        <v>490</v>
      </c>
      <c r="C208" s="4" t="s">
        <v>1627</v>
      </c>
      <c r="D208" s="133" t="s">
        <v>500</v>
      </c>
      <c r="E208" s="191" t="s">
        <v>1354</v>
      </c>
      <c r="F208" s="52"/>
      <c r="G208" s="210"/>
      <c r="H208" s="49">
        <v>50</v>
      </c>
      <c r="I208" s="42"/>
      <c r="J208" s="42"/>
      <c r="K208" s="43">
        <f t="shared" si="7"/>
        <v>50</v>
      </c>
      <c r="L208" s="43">
        <f t="shared" si="9"/>
        <v>11232.489999999987</v>
      </c>
      <c r="M208" s="18" t="s">
        <v>90</v>
      </c>
      <c r="P208" s="244"/>
      <c r="Q208" s="15"/>
      <c r="S208" s="4"/>
      <c r="T208"/>
      <c r="W208" s="125" t="s">
        <v>1169</v>
      </c>
    </row>
    <row r="209" spans="1:23" x14ac:dyDescent="0.3">
      <c r="A209" s="40"/>
      <c r="B209" s="109" t="s">
        <v>490</v>
      </c>
      <c r="C209" s="4" t="s">
        <v>1629</v>
      </c>
      <c r="D209" s="112" t="s">
        <v>504</v>
      </c>
      <c r="E209" s="121" t="s">
        <v>1030</v>
      </c>
      <c r="F209" s="27"/>
      <c r="G209" s="33"/>
      <c r="H209" s="42"/>
      <c r="I209" s="42"/>
      <c r="J209" s="49">
        <v>-50</v>
      </c>
      <c r="K209" s="43">
        <f t="shared" si="7"/>
        <v>-50</v>
      </c>
      <c r="L209" s="43">
        <f t="shared" si="9"/>
        <v>11182.489999999987</v>
      </c>
      <c r="M209" s="18" t="s">
        <v>90</v>
      </c>
      <c r="P209"/>
      <c r="S209" s="4"/>
    </row>
    <row r="210" spans="1:23" x14ac:dyDescent="0.3">
      <c r="B210" s="109" t="s">
        <v>490</v>
      </c>
      <c r="C210" s="4" t="s">
        <v>1630</v>
      </c>
      <c r="D210" s="133" t="s">
        <v>512</v>
      </c>
      <c r="E210" s="120"/>
      <c r="F210" s="27"/>
      <c r="G210" s="33"/>
      <c r="H210" s="42">
        <v>50</v>
      </c>
      <c r="I210" s="171"/>
      <c r="J210" s="42"/>
      <c r="K210" s="43">
        <f t="shared" si="7"/>
        <v>50</v>
      </c>
      <c r="L210" s="43">
        <f t="shared" si="9"/>
        <v>11232.489999999987</v>
      </c>
      <c r="M210" s="16" t="s">
        <v>412</v>
      </c>
      <c r="P210"/>
      <c r="S210" s="4"/>
    </row>
    <row r="211" spans="1:23" x14ac:dyDescent="0.3">
      <c r="B211" s="109" t="s">
        <v>490</v>
      </c>
      <c r="C211" s="4" t="s">
        <v>1630</v>
      </c>
      <c r="D211" s="133" t="s">
        <v>500</v>
      </c>
      <c r="E211" s="191" t="s">
        <v>1631</v>
      </c>
      <c r="F211" s="27"/>
      <c r="G211" s="210"/>
      <c r="H211" s="49">
        <v>50</v>
      </c>
      <c r="I211" s="42"/>
      <c r="J211" s="42"/>
      <c r="K211" s="43">
        <f t="shared" si="7"/>
        <v>50</v>
      </c>
      <c r="L211" s="43">
        <f t="shared" si="9"/>
        <v>11282.489999999987</v>
      </c>
      <c r="M211" s="16" t="s">
        <v>412</v>
      </c>
      <c r="P211" s="4" t="s">
        <v>1627</v>
      </c>
      <c r="S211" s="4">
        <v>120</v>
      </c>
      <c r="T211"/>
      <c r="U211" s="43"/>
    </row>
    <row r="212" spans="1:23" x14ac:dyDescent="0.3">
      <c r="B212" s="109" t="s">
        <v>490</v>
      </c>
      <c r="C212" s="1" t="s">
        <v>1623</v>
      </c>
      <c r="D212" s="133" t="s">
        <v>512</v>
      </c>
      <c r="E212" s="120" t="s">
        <v>1632</v>
      </c>
      <c r="F212" s="52"/>
      <c r="G212" s="33"/>
      <c r="H212" s="42">
        <v>80</v>
      </c>
      <c r="I212" s="42"/>
      <c r="J212" s="42"/>
      <c r="K212" s="43">
        <f t="shared" si="7"/>
        <v>80</v>
      </c>
      <c r="L212" s="43">
        <f t="shared" si="9"/>
        <v>11362.489999999987</v>
      </c>
      <c r="M212" s="16"/>
      <c r="P212" s="4" t="s">
        <v>1623</v>
      </c>
      <c r="Q212"/>
      <c r="R212"/>
      <c r="S212" s="4">
        <v>80</v>
      </c>
      <c r="T212" t="s">
        <v>1640</v>
      </c>
    </row>
    <row r="213" spans="1:23" x14ac:dyDescent="0.3">
      <c r="A213" s="26"/>
      <c r="B213" s="109" t="s">
        <v>490</v>
      </c>
      <c r="C213" s="4" t="s">
        <v>1633</v>
      </c>
      <c r="D213" s="133" t="s">
        <v>500</v>
      </c>
      <c r="E213" s="191" t="s">
        <v>274</v>
      </c>
      <c r="F213" s="27"/>
      <c r="G213" s="207" t="s">
        <v>324</v>
      </c>
      <c r="H213" s="49">
        <v>50</v>
      </c>
      <c r="I213" s="240"/>
      <c r="J213" s="270"/>
      <c r="K213" s="43">
        <f t="shared" si="7"/>
        <v>50</v>
      </c>
      <c r="L213" s="43">
        <f t="shared" si="9"/>
        <v>11412.489999999987</v>
      </c>
      <c r="M213" s="16" t="s">
        <v>90</v>
      </c>
      <c r="P213" s="4" t="s">
        <v>1638</v>
      </c>
      <c r="Q213"/>
      <c r="R213"/>
      <c r="S213" s="4">
        <v>60</v>
      </c>
    </row>
    <row r="214" spans="1:23" x14ac:dyDescent="0.3">
      <c r="B214" s="109" t="s">
        <v>490</v>
      </c>
      <c r="C214" s="4" t="s">
        <v>1626</v>
      </c>
      <c r="D214" s="112" t="s">
        <v>504</v>
      </c>
      <c r="E214" s="121" t="s">
        <v>1137</v>
      </c>
      <c r="F214" s="27"/>
      <c r="G214" s="33"/>
      <c r="H214" s="42"/>
      <c r="I214" s="42"/>
      <c r="J214" s="49">
        <v>-50</v>
      </c>
      <c r="K214" s="43">
        <f t="shared" si="7"/>
        <v>-50</v>
      </c>
      <c r="L214" s="43">
        <f t="shared" si="9"/>
        <v>11362.489999999987</v>
      </c>
      <c r="M214" s="18" t="s">
        <v>90</v>
      </c>
      <c r="P214" s="4"/>
      <c r="Q214"/>
      <c r="R214"/>
      <c r="S214" s="125"/>
    </row>
    <row r="215" spans="1:23" x14ac:dyDescent="0.3">
      <c r="A215" s="59"/>
      <c r="B215" s="109" t="s">
        <v>490</v>
      </c>
      <c r="C215" s="4" t="s">
        <v>1633</v>
      </c>
      <c r="D215" s="133" t="s">
        <v>512</v>
      </c>
      <c r="E215" s="269" t="s">
        <v>1749</v>
      </c>
      <c r="F215" s="240"/>
      <c r="G215" s="264"/>
      <c r="H215" s="240">
        <v>60</v>
      </c>
      <c r="I215" s="240"/>
      <c r="J215" s="270"/>
      <c r="K215" s="43">
        <f t="shared" si="7"/>
        <v>60</v>
      </c>
      <c r="L215" s="43">
        <f t="shared" si="9"/>
        <v>11422.489999999987</v>
      </c>
      <c r="P215"/>
      <c r="Q215"/>
      <c r="R215"/>
      <c r="S215" s="4"/>
      <c r="T215"/>
      <c r="U215" s="11">
        <f>SUM(S197:S214)</f>
        <v>2739.43</v>
      </c>
    </row>
    <row r="216" spans="1:23" x14ac:dyDescent="0.3">
      <c r="A216" s="28"/>
      <c r="B216" s="109" t="s">
        <v>490</v>
      </c>
      <c r="C216" s="4" t="s">
        <v>1635</v>
      </c>
      <c r="D216" s="133" t="s">
        <v>512</v>
      </c>
      <c r="E216" s="168" t="s">
        <v>1686</v>
      </c>
      <c r="F216" s="27"/>
      <c r="G216" s="33"/>
      <c r="H216" s="42">
        <v>120</v>
      </c>
      <c r="I216" s="240"/>
      <c r="J216" s="270"/>
      <c r="K216" s="43">
        <f t="shared" si="7"/>
        <v>120</v>
      </c>
      <c r="L216" s="43">
        <f t="shared" si="9"/>
        <v>11542.489999999987</v>
      </c>
      <c r="M216" s="16" t="s">
        <v>90</v>
      </c>
      <c r="P216"/>
      <c r="Q216"/>
      <c r="R216"/>
      <c r="S216" s="4"/>
      <c r="T216"/>
      <c r="U216"/>
      <c r="V216" s="125"/>
      <c r="W216" s="57"/>
    </row>
    <row r="217" spans="1:23" ht="15.5" x14ac:dyDescent="0.35">
      <c r="A217" s="34"/>
      <c r="B217" s="109" t="s">
        <v>490</v>
      </c>
      <c r="C217" s="4"/>
      <c r="D217" s="112"/>
      <c r="E217" s="120"/>
      <c r="F217" s="27"/>
      <c r="G217" s="210"/>
      <c r="H217" s="42"/>
      <c r="I217" s="42"/>
      <c r="J217" s="42"/>
      <c r="K217" s="43">
        <f t="shared" si="7"/>
        <v>0</v>
      </c>
      <c r="L217" s="331">
        <f t="shared" si="9"/>
        <v>11542.489999999987</v>
      </c>
      <c r="O217" s="30"/>
      <c r="P217"/>
      <c r="Q217"/>
      <c r="R217"/>
      <c r="S217" s="4"/>
      <c r="T217"/>
      <c r="U217" s="74">
        <f>U195+U215</f>
        <v>11542.49</v>
      </c>
      <c r="W217" t="s">
        <v>588</v>
      </c>
    </row>
    <row r="218" spans="1:23" x14ac:dyDescent="0.3">
      <c r="A218" s="29"/>
      <c r="B218" s="109"/>
      <c r="C218" s="4"/>
      <c r="D218" s="112"/>
      <c r="E218" s="269"/>
      <c r="F218" s="240"/>
      <c r="G218" s="264"/>
      <c r="H218" s="240"/>
      <c r="I218" s="240"/>
      <c r="J218" s="268"/>
      <c r="K218" s="43">
        <f>H218+J218</f>
        <v>0</v>
      </c>
      <c r="L218" s="43">
        <f t="shared" si="9"/>
        <v>11542.489999999987</v>
      </c>
      <c r="O218"/>
      <c r="P218" s="4"/>
      <c r="Q218" s="15"/>
      <c r="S218" s="4"/>
      <c r="T218"/>
      <c r="U218" s="43"/>
    </row>
    <row r="219" spans="1:23" x14ac:dyDescent="0.3">
      <c r="A219" s="29"/>
      <c r="B219" s="109"/>
      <c r="C219" s="4"/>
      <c r="D219" s="133"/>
      <c r="E219" s="120"/>
      <c r="F219" s="27"/>
      <c r="G219" s="33"/>
      <c r="H219" s="42"/>
      <c r="I219" s="42"/>
      <c r="J219" s="42"/>
      <c r="K219" s="43">
        <f>H219+J219</f>
        <v>0</v>
      </c>
      <c r="L219" s="43">
        <f>L218+K219</f>
        <v>11542.489999999987</v>
      </c>
      <c r="O219"/>
      <c r="P219" s="4"/>
      <c r="Q219" s="15"/>
      <c r="S219" s="4"/>
      <c r="T219"/>
      <c r="U219" s="43"/>
    </row>
    <row r="220" spans="1:23" x14ac:dyDescent="0.3">
      <c r="A220" s="28" t="s">
        <v>400</v>
      </c>
      <c r="B220" s="105" t="s">
        <v>400</v>
      </c>
      <c r="C220" s="4" t="s">
        <v>58</v>
      </c>
      <c r="D220" s="132" t="s">
        <v>9</v>
      </c>
      <c r="E220" s="1" t="s">
        <v>835</v>
      </c>
      <c r="J220" s="42">
        <v>-118.78</v>
      </c>
      <c r="K220" s="43">
        <f>H220+J220</f>
        <v>-118.78</v>
      </c>
      <c r="L220" s="43">
        <f>L219+K220</f>
        <v>11423.709999999986</v>
      </c>
      <c r="M220" s="18" t="s">
        <v>90</v>
      </c>
      <c r="N220" s="11"/>
      <c r="O220"/>
      <c r="T220"/>
      <c r="U220" s="43"/>
    </row>
    <row r="221" spans="1:23" x14ac:dyDescent="0.3">
      <c r="A221" s="28"/>
      <c r="B221" s="105" t="s">
        <v>400</v>
      </c>
      <c r="C221" s="4" t="s">
        <v>58</v>
      </c>
      <c r="D221" s="133" t="s">
        <v>8</v>
      </c>
      <c r="E221" s="1" t="s">
        <v>835</v>
      </c>
      <c r="F221" s="27"/>
      <c r="G221" s="33"/>
      <c r="H221" s="42"/>
      <c r="I221" s="171"/>
      <c r="J221" s="42">
        <v>-79.760000000000005</v>
      </c>
      <c r="K221" s="43">
        <f t="shared" ref="K221:K246" si="10">H221+J221</f>
        <v>-79.760000000000005</v>
      </c>
      <c r="L221" s="43">
        <f t="shared" ref="L221:L258" si="11">L220+K221</f>
        <v>11343.949999999986</v>
      </c>
      <c r="M221" s="18" t="s">
        <v>90</v>
      </c>
      <c r="N221" s="11"/>
      <c r="O221"/>
      <c r="T221"/>
      <c r="U221" s="43"/>
    </row>
    <row r="222" spans="1:23" x14ac:dyDescent="0.3">
      <c r="A222" s="28"/>
      <c r="B222" s="105" t="s">
        <v>400</v>
      </c>
      <c r="C222" s="4" t="s">
        <v>299</v>
      </c>
      <c r="D222" s="133" t="s">
        <v>301</v>
      </c>
      <c r="E222" s="213"/>
      <c r="F222" s="213"/>
      <c r="G222" s="214"/>
      <c r="H222" s="215"/>
      <c r="I222" s="215"/>
      <c r="J222" s="232">
        <v>-44.94</v>
      </c>
      <c r="K222" s="43">
        <f t="shared" si="10"/>
        <v>-44.94</v>
      </c>
      <c r="L222" s="43">
        <f t="shared" si="11"/>
        <v>11299.009999999986</v>
      </c>
      <c r="M222" s="18" t="s">
        <v>90</v>
      </c>
      <c r="N222" s="11"/>
      <c r="O222"/>
      <c r="T222"/>
      <c r="U222" s="43"/>
    </row>
    <row r="223" spans="1:23" x14ac:dyDescent="0.3">
      <c r="A223" s="28"/>
      <c r="B223" s="105" t="s">
        <v>400</v>
      </c>
      <c r="C223" s="4" t="s">
        <v>607</v>
      </c>
      <c r="D223" s="133" t="s">
        <v>11</v>
      </c>
      <c r="E223" s="213" t="s">
        <v>1664</v>
      </c>
      <c r="F223" s="213"/>
      <c r="G223" s="214"/>
      <c r="H223" s="215"/>
      <c r="I223" s="215"/>
      <c r="J223" s="232">
        <v>0</v>
      </c>
      <c r="K223" s="43">
        <f t="shared" si="10"/>
        <v>0</v>
      </c>
      <c r="L223" s="43">
        <f t="shared" si="11"/>
        <v>11299.009999999986</v>
      </c>
      <c r="M223" s="18" t="s">
        <v>90</v>
      </c>
      <c r="N223" s="11"/>
      <c r="O223"/>
      <c r="T223"/>
      <c r="U223" s="43"/>
    </row>
    <row r="224" spans="1:23" x14ac:dyDescent="0.3">
      <c r="A224" s="28"/>
      <c r="B224" s="105" t="s">
        <v>400</v>
      </c>
      <c r="C224" s="214" t="s">
        <v>1109</v>
      </c>
      <c r="D224" s="133" t="s">
        <v>12</v>
      </c>
      <c r="E224" s="213"/>
      <c r="F224" s="215"/>
      <c r="G224" s="214"/>
      <c r="H224" s="215"/>
      <c r="I224" s="215"/>
      <c r="J224" s="232">
        <v>-38.81</v>
      </c>
      <c r="K224" s="43">
        <f t="shared" si="10"/>
        <v>-38.81</v>
      </c>
      <c r="L224" s="43">
        <f t="shared" si="11"/>
        <v>11260.199999999986</v>
      </c>
      <c r="M224" s="18" t="s">
        <v>90</v>
      </c>
      <c r="N224" s="11"/>
      <c r="O224"/>
      <c r="T224"/>
      <c r="U224" s="43"/>
    </row>
    <row r="225" spans="1:23" x14ac:dyDescent="0.3">
      <c r="A225" s="28"/>
      <c r="B225" s="105" t="s">
        <v>400</v>
      </c>
      <c r="C225" s="4" t="s">
        <v>48</v>
      </c>
      <c r="D225" s="133" t="s">
        <v>12</v>
      </c>
      <c r="E225" s="213"/>
      <c r="F225" s="215"/>
      <c r="G225" s="214"/>
      <c r="H225" s="215"/>
      <c r="I225" s="215"/>
      <c r="J225" s="232">
        <v>-72.42</v>
      </c>
      <c r="K225" s="43">
        <f t="shared" si="10"/>
        <v>-72.42</v>
      </c>
      <c r="L225" s="43">
        <f t="shared" si="11"/>
        <v>11187.779999999986</v>
      </c>
      <c r="M225" s="18" t="s">
        <v>90</v>
      </c>
      <c r="N225" s="11"/>
      <c r="O225"/>
      <c r="T225"/>
      <c r="U225" s="43"/>
    </row>
    <row r="226" spans="1:23" x14ac:dyDescent="0.3">
      <c r="A226" s="28"/>
      <c r="B226" s="105" t="s">
        <v>400</v>
      </c>
      <c r="C226" s="4" t="s">
        <v>1544</v>
      </c>
      <c r="D226" s="133" t="s">
        <v>12</v>
      </c>
      <c r="E226" s="1" t="s">
        <v>863</v>
      </c>
      <c r="J226" s="43">
        <v>-372.5</v>
      </c>
      <c r="K226" s="43">
        <f t="shared" si="10"/>
        <v>-372.5</v>
      </c>
      <c r="L226" s="43">
        <f t="shared" si="11"/>
        <v>10815.279999999986</v>
      </c>
      <c r="N226" s="11"/>
      <c r="O226"/>
      <c r="T226"/>
      <c r="U226" s="43"/>
    </row>
    <row r="227" spans="1:23" x14ac:dyDescent="0.3">
      <c r="A227" s="28"/>
      <c r="B227" s="105" t="s">
        <v>400</v>
      </c>
      <c r="C227" s="4"/>
      <c r="D227" s="133"/>
      <c r="E227" s="330"/>
      <c r="F227" s="269"/>
      <c r="G227" s="264"/>
      <c r="H227" s="240"/>
      <c r="I227" s="240"/>
      <c r="J227" s="270"/>
      <c r="K227" s="43">
        <f t="shared" si="10"/>
        <v>0</v>
      </c>
      <c r="L227" s="43">
        <f t="shared" si="11"/>
        <v>10815.279999999986</v>
      </c>
      <c r="N227" s="11"/>
      <c r="O227"/>
      <c r="T227"/>
      <c r="U227" s="43"/>
    </row>
    <row r="228" spans="1:23" x14ac:dyDescent="0.3">
      <c r="A228" s="28"/>
      <c r="B228" s="105" t="s">
        <v>400</v>
      </c>
      <c r="C228" s="4" t="s">
        <v>1639</v>
      </c>
      <c r="D228" s="133" t="s">
        <v>512</v>
      </c>
      <c r="E228" s="329">
        <v>44563</v>
      </c>
      <c r="F228" s="269"/>
      <c r="G228" s="264"/>
      <c r="H228" s="240">
        <v>40</v>
      </c>
      <c r="I228" s="240"/>
      <c r="J228" s="270"/>
      <c r="K228" s="43">
        <f t="shared" si="10"/>
        <v>40</v>
      </c>
      <c r="L228" s="43">
        <f t="shared" si="11"/>
        <v>10855.279999999986</v>
      </c>
      <c r="M228" s="18" t="s">
        <v>90</v>
      </c>
      <c r="N228" s="11"/>
      <c r="O228"/>
      <c r="T228"/>
      <c r="U228" s="43"/>
    </row>
    <row r="229" spans="1:23" x14ac:dyDescent="0.3">
      <c r="A229" s="28"/>
      <c r="B229" s="105" t="s">
        <v>400</v>
      </c>
      <c r="C229" s="4" t="s">
        <v>1642</v>
      </c>
      <c r="D229" s="133" t="s">
        <v>512</v>
      </c>
      <c r="E229" s="168" t="s">
        <v>1641</v>
      </c>
      <c r="F229" s="27"/>
      <c r="G229" s="33"/>
      <c r="H229" s="42">
        <v>30</v>
      </c>
      <c r="I229" s="240"/>
      <c r="J229" s="270"/>
      <c r="K229" s="43">
        <f t="shared" si="10"/>
        <v>30</v>
      </c>
      <c r="L229" s="43">
        <f t="shared" si="11"/>
        <v>10885.279999999986</v>
      </c>
      <c r="M229" s="18" t="s">
        <v>412</v>
      </c>
      <c r="N229" s="11"/>
      <c r="O229"/>
      <c r="T229"/>
      <c r="U229" s="43"/>
    </row>
    <row r="230" spans="1:23" x14ac:dyDescent="0.3">
      <c r="A230" s="28"/>
      <c r="B230" s="105" t="s">
        <v>400</v>
      </c>
      <c r="C230" s="4" t="s">
        <v>1642</v>
      </c>
      <c r="D230" s="112" t="s">
        <v>500</v>
      </c>
      <c r="E230" s="121" t="s">
        <v>1643</v>
      </c>
      <c r="F230" s="27"/>
      <c r="G230" s="207" t="s">
        <v>324</v>
      </c>
      <c r="H230" s="49">
        <v>50</v>
      </c>
      <c r="I230" s="42"/>
      <c r="J230" s="270"/>
      <c r="K230" s="43">
        <f t="shared" si="10"/>
        <v>50</v>
      </c>
      <c r="L230" s="43">
        <f t="shared" si="11"/>
        <v>10935.279999999986</v>
      </c>
      <c r="M230" s="18" t="s">
        <v>412</v>
      </c>
      <c r="N230" s="4" t="s">
        <v>1777</v>
      </c>
      <c r="O230"/>
      <c r="T230"/>
      <c r="U230" s="43"/>
    </row>
    <row r="231" spans="1:23" x14ac:dyDescent="0.3">
      <c r="A231" s="28"/>
      <c r="B231" s="105" t="s">
        <v>400</v>
      </c>
      <c r="C231" s="4" t="s">
        <v>1655</v>
      </c>
      <c r="D231" s="133" t="s">
        <v>512</v>
      </c>
      <c r="E231" s="168" t="s">
        <v>1636</v>
      </c>
      <c r="F231" s="27"/>
      <c r="G231" s="33"/>
      <c r="H231" s="42">
        <v>60</v>
      </c>
      <c r="I231" s="240"/>
      <c r="J231" s="270"/>
      <c r="K231" s="43">
        <f t="shared" si="10"/>
        <v>60</v>
      </c>
      <c r="L231" s="43">
        <f t="shared" si="11"/>
        <v>10995.279999999986</v>
      </c>
      <c r="M231" s="18" t="s">
        <v>412</v>
      </c>
      <c r="N231" s="11"/>
      <c r="O231"/>
    </row>
    <row r="232" spans="1:23" x14ac:dyDescent="0.3">
      <c r="A232" s="28"/>
      <c r="B232" s="105" t="s">
        <v>400</v>
      </c>
      <c r="C232" s="4" t="s">
        <v>1655</v>
      </c>
      <c r="D232" s="112" t="s">
        <v>500</v>
      </c>
      <c r="E232" s="121" t="s">
        <v>1654</v>
      </c>
      <c r="F232" s="27"/>
      <c r="G232" s="207" t="s">
        <v>324</v>
      </c>
      <c r="H232" s="49">
        <v>50</v>
      </c>
      <c r="I232" s="240"/>
      <c r="J232" s="270"/>
      <c r="K232" s="43">
        <f>H232+J232</f>
        <v>50</v>
      </c>
      <c r="L232" s="43">
        <f>L231+K232</f>
        <v>11045.279999999986</v>
      </c>
      <c r="M232" s="18" t="s">
        <v>412</v>
      </c>
      <c r="N232" s="11"/>
      <c r="O232"/>
    </row>
    <row r="233" spans="1:23" x14ac:dyDescent="0.3">
      <c r="A233" s="28"/>
      <c r="B233" s="105" t="s">
        <v>400</v>
      </c>
      <c r="C233" s="4" t="s">
        <v>604</v>
      </c>
      <c r="D233" s="133" t="s">
        <v>512</v>
      </c>
      <c r="E233" s="120" t="s">
        <v>1687</v>
      </c>
      <c r="F233" s="27"/>
      <c r="G233" s="210"/>
      <c r="H233" s="42">
        <v>60</v>
      </c>
      <c r="I233" s="240"/>
      <c r="J233" s="270"/>
      <c r="K233" s="43">
        <f>H233+J233</f>
        <v>60</v>
      </c>
      <c r="L233" s="43">
        <f>L232+K233</f>
        <v>11105.279999999986</v>
      </c>
      <c r="M233" s="18" t="s">
        <v>90</v>
      </c>
      <c r="N233" s="11"/>
      <c r="O233"/>
      <c r="P233" s="30" t="s">
        <v>1675</v>
      </c>
      <c r="Q233" s="30"/>
      <c r="R233" s="30"/>
      <c r="S233"/>
      <c r="T233"/>
      <c r="U233">
        <f>12744.13</f>
        <v>12744.13</v>
      </c>
      <c r="W233"/>
    </row>
    <row r="234" spans="1:23" x14ac:dyDescent="0.3">
      <c r="A234" s="28"/>
      <c r="B234" s="105" t="s">
        <v>400</v>
      </c>
      <c r="C234" s="4" t="s">
        <v>1623</v>
      </c>
      <c r="D234" s="133" t="s">
        <v>512</v>
      </c>
      <c r="E234" s="269" t="s">
        <v>1666</v>
      </c>
      <c r="F234" s="269"/>
      <c r="G234" s="264"/>
      <c r="H234" s="240">
        <v>5</v>
      </c>
      <c r="I234" s="240"/>
      <c r="J234" s="270"/>
      <c r="K234" s="43">
        <f t="shared" si="10"/>
        <v>5</v>
      </c>
      <c r="L234" s="43">
        <f t="shared" si="11"/>
        <v>11110.279999999986</v>
      </c>
      <c r="M234" s="18" t="s">
        <v>90</v>
      </c>
      <c r="N234" s="11"/>
      <c r="O234"/>
      <c r="P234"/>
      <c r="Q234"/>
      <c r="R234"/>
      <c r="S234"/>
      <c r="T234"/>
      <c r="U234"/>
      <c r="W234"/>
    </row>
    <row r="235" spans="1:23" x14ac:dyDescent="0.3">
      <c r="A235" s="28"/>
      <c r="B235" s="105" t="s">
        <v>400</v>
      </c>
      <c r="C235" s="4" t="s">
        <v>607</v>
      </c>
      <c r="D235" s="133" t="s">
        <v>11</v>
      </c>
      <c r="E235" s="269" t="s">
        <v>1644</v>
      </c>
      <c r="F235" s="269"/>
      <c r="G235" s="264"/>
      <c r="H235" s="240"/>
      <c r="I235" s="240"/>
      <c r="J235" s="270">
        <v>46.45</v>
      </c>
      <c r="K235" s="43">
        <f t="shared" si="10"/>
        <v>46.45</v>
      </c>
      <c r="L235" s="43">
        <f t="shared" si="11"/>
        <v>11156.729999999987</v>
      </c>
      <c r="M235" s="18" t="s">
        <v>1649</v>
      </c>
      <c r="N235" s="11"/>
      <c r="O235"/>
      <c r="P235" t="s">
        <v>584</v>
      </c>
      <c r="Q235"/>
      <c r="R235"/>
      <c r="S235"/>
      <c r="T235"/>
      <c r="U235"/>
      <c r="W235"/>
    </row>
    <row r="236" spans="1:23" x14ac:dyDescent="0.3">
      <c r="A236" s="28"/>
      <c r="B236" s="105" t="s">
        <v>400</v>
      </c>
      <c r="C236" s="4" t="s">
        <v>607</v>
      </c>
      <c r="D236" s="133" t="s">
        <v>11</v>
      </c>
      <c r="E236" s="269" t="s">
        <v>1645</v>
      </c>
      <c r="F236" s="269"/>
      <c r="G236" s="264"/>
      <c r="H236" s="240"/>
      <c r="I236" s="240"/>
      <c r="J236" s="270">
        <v>46.45</v>
      </c>
      <c r="K236" s="43">
        <f t="shared" si="10"/>
        <v>46.45</v>
      </c>
      <c r="L236" s="43">
        <f t="shared" si="11"/>
        <v>11203.179999999988</v>
      </c>
      <c r="M236" s="18" t="s">
        <v>1650</v>
      </c>
      <c r="N236" s="11"/>
      <c r="O236"/>
      <c r="P236" t="s">
        <v>586</v>
      </c>
      <c r="Q236"/>
      <c r="R236"/>
      <c r="S236"/>
      <c r="T236"/>
      <c r="U236"/>
      <c r="W236"/>
    </row>
    <row r="237" spans="1:23" x14ac:dyDescent="0.3">
      <c r="A237" s="28"/>
      <c r="B237" s="105" t="s">
        <v>400</v>
      </c>
      <c r="C237" s="4" t="s">
        <v>607</v>
      </c>
      <c r="D237" s="133" t="s">
        <v>11</v>
      </c>
      <c r="E237" s="269" t="s">
        <v>1646</v>
      </c>
      <c r="F237" s="269"/>
      <c r="G237" s="264"/>
      <c r="H237" s="240"/>
      <c r="I237" s="240"/>
      <c r="J237" s="270">
        <v>46.45</v>
      </c>
      <c r="K237" s="43">
        <f t="shared" si="10"/>
        <v>46.45</v>
      </c>
      <c r="L237" s="43">
        <f t="shared" si="11"/>
        <v>11249.629999999988</v>
      </c>
      <c r="M237" s="18" t="s">
        <v>1651</v>
      </c>
      <c r="N237" s="11"/>
      <c r="O237"/>
      <c r="P237" t="s">
        <v>1531</v>
      </c>
      <c r="Q237"/>
      <c r="R237"/>
      <c r="S237" s="4">
        <v>-1096</v>
      </c>
      <c r="T237"/>
      <c r="U237"/>
      <c r="W237"/>
    </row>
    <row r="238" spans="1:23" x14ac:dyDescent="0.3">
      <c r="A238" s="28"/>
      <c r="B238" s="105" t="s">
        <v>400</v>
      </c>
      <c r="C238" s="4" t="s">
        <v>607</v>
      </c>
      <c r="D238" s="133" t="s">
        <v>11</v>
      </c>
      <c r="E238" s="269" t="s">
        <v>1647</v>
      </c>
      <c r="F238" s="269"/>
      <c r="G238" s="264"/>
      <c r="H238" s="240"/>
      <c r="I238" s="240"/>
      <c r="J238" s="270">
        <v>46.45</v>
      </c>
      <c r="K238" s="43">
        <f t="shared" si="10"/>
        <v>46.45</v>
      </c>
      <c r="L238" s="43">
        <f t="shared" si="11"/>
        <v>11296.079999999989</v>
      </c>
      <c r="M238" s="18" t="s">
        <v>1652</v>
      </c>
      <c r="N238" s="11"/>
      <c r="O238"/>
      <c r="P238" s="4" t="s">
        <v>1683</v>
      </c>
      <c r="Q238" s="15"/>
      <c r="S238" s="4">
        <v>10</v>
      </c>
      <c r="T238" t="s">
        <v>1716</v>
      </c>
      <c r="U238"/>
      <c r="W238"/>
    </row>
    <row r="239" spans="1:23" x14ac:dyDescent="0.3">
      <c r="A239" s="28"/>
      <c r="B239" s="105" t="s">
        <v>400</v>
      </c>
      <c r="C239" s="4" t="s">
        <v>607</v>
      </c>
      <c r="D239" s="133" t="s">
        <v>11</v>
      </c>
      <c r="E239" s="269" t="s">
        <v>1648</v>
      </c>
      <c r="F239" s="269"/>
      <c r="G239" s="264"/>
      <c r="H239" s="240"/>
      <c r="I239" s="240"/>
      <c r="J239" s="270">
        <v>46.45</v>
      </c>
      <c r="K239" s="43">
        <f t="shared" si="10"/>
        <v>46.45</v>
      </c>
      <c r="L239" s="43">
        <f t="shared" si="11"/>
        <v>11342.52999999999</v>
      </c>
      <c r="M239" s="18" t="s">
        <v>1653</v>
      </c>
      <c r="N239" s="11"/>
      <c r="O239"/>
      <c r="P239" s="4" t="s">
        <v>1627</v>
      </c>
      <c r="S239" s="4">
        <v>120</v>
      </c>
      <c r="T239" t="s">
        <v>1231</v>
      </c>
      <c r="U239"/>
      <c r="W239"/>
    </row>
    <row r="240" spans="1:23" x14ac:dyDescent="0.3">
      <c r="A240" s="28"/>
      <c r="B240" s="105" t="s">
        <v>400</v>
      </c>
      <c r="C240" s="4" t="s">
        <v>1656</v>
      </c>
      <c r="D240" s="133" t="s">
        <v>512</v>
      </c>
      <c r="E240" s="168" t="s">
        <v>1657</v>
      </c>
      <c r="F240" s="27"/>
      <c r="G240" s="33"/>
      <c r="H240" s="42">
        <v>60</v>
      </c>
      <c r="I240" s="240"/>
      <c r="J240" s="270"/>
      <c r="K240" s="43">
        <f t="shared" si="10"/>
        <v>60</v>
      </c>
      <c r="L240" s="43">
        <f t="shared" si="11"/>
        <v>11402.52999999999</v>
      </c>
      <c r="M240" s="18" t="s">
        <v>412</v>
      </c>
      <c r="N240" s="11"/>
      <c r="O240"/>
      <c r="P240" s="4" t="s">
        <v>1638</v>
      </c>
      <c r="Q240"/>
      <c r="R240"/>
      <c r="S240" s="4">
        <v>60</v>
      </c>
      <c r="T240" t="s">
        <v>1741</v>
      </c>
      <c r="U240"/>
      <c r="W240"/>
    </row>
    <row r="241" spans="1:24" x14ac:dyDescent="0.3">
      <c r="A241" s="28"/>
      <c r="B241" s="105" t="s">
        <v>400</v>
      </c>
      <c r="C241" s="4" t="s">
        <v>1656</v>
      </c>
      <c r="D241" s="112" t="s">
        <v>500</v>
      </c>
      <c r="E241" s="121" t="s">
        <v>1658</v>
      </c>
      <c r="F241" s="27"/>
      <c r="G241" s="210"/>
      <c r="H241" s="49">
        <v>50</v>
      </c>
      <c r="I241" s="240"/>
      <c r="J241" s="270"/>
      <c r="K241" s="43">
        <f t="shared" si="10"/>
        <v>50</v>
      </c>
      <c r="L241" s="43">
        <f t="shared" si="11"/>
        <v>11452.52999999999</v>
      </c>
      <c r="M241" s="18" t="s">
        <v>412</v>
      </c>
      <c r="N241" s="11"/>
      <c r="O241"/>
      <c r="P241" s="4" t="s">
        <v>1692</v>
      </c>
      <c r="Q241"/>
      <c r="R241"/>
      <c r="S241" s="125">
        <v>60</v>
      </c>
      <c r="T241" t="s">
        <v>1716</v>
      </c>
      <c r="U241" s="18"/>
      <c r="W241"/>
    </row>
    <row r="242" spans="1:24" x14ac:dyDescent="0.3">
      <c r="A242" s="28"/>
      <c r="B242" s="105" t="s">
        <v>400</v>
      </c>
      <c r="C242" s="4" t="s">
        <v>423</v>
      </c>
      <c r="D242" s="133" t="s">
        <v>512</v>
      </c>
      <c r="E242" s="269" t="s">
        <v>1665</v>
      </c>
      <c r="F242" s="269"/>
      <c r="G242" s="264"/>
      <c r="H242" s="240">
        <v>33</v>
      </c>
      <c r="I242" s="240"/>
      <c r="J242" s="270"/>
      <c r="K242" s="43">
        <f t="shared" si="10"/>
        <v>33</v>
      </c>
      <c r="L242" s="43">
        <f t="shared" si="11"/>
        <v>11485.52999999999</v>
      </c>
      <c r="M242" s="18" t="s">
        <v>90</v>
      </c>
      <c r="N242" s="11"/>
      <c r="O242"/>
      <c r="P242" s="4" t="s">
        <v>1544</v>
      </c>
      <c r="Q242"/>
      <c r="R242"/>
      <c r="S242" s="4">
        <v>-372.5</v>
      </c>
      <c r="T242" t="s">
        <v>1231</v>
      </c>
      <c r="U242"/>
    </row>
    <row r="243" spans="1:24" x14ac:dyDescent="0.3">
      <c r="A243" s="28"/>
      <c r="B243" s="105" t="s">
        <v>400</v>
      </c>
      <c r="C243" s="4" t="s">
        <v>1625</v>
      </c>
      <c r="D243" s="112" t="s">
        <v>504</v>
      </c>
      <c r="E243" s="121" t="s">
        <v>1042</v>
      </c>
      <c r="F243" s="27"/>
      <c r="G243" s="33"/>
      <c r="H243" s="42"/>
      <c r="I243" s="42"/>
      <c r="J243" s="49">
        <v>-50</v>
      </c>
      <c r="K243" s="43">
        <f t="shared" si="10"/>
        <v>-50</v>
      </c>
      <c r="L243" s="43">
        <f t="shared" si="11"/>
        <v>11435.52999999999</v>
      </c>
      <c r="M243" s="18" t="s">
        <v>90</v>
      </c>
      <c r="N243" s="4"/>
      <c r="O243"/>
      <c r="P243" s="4" t="s">
        <v>1623</v>
      </c>
      <c r="Q243" s="15"/>
      <c r="S243" s="4">
        <v>155</v>
      </c>
      <c r="T243" t="s">
        <v>1231</v>
      </c>
      <c r="U243"/>
    </row>
    <row r="244" spans="1:24" x14ac:dyDescent="0.3">
      <c r="A244" s="28"/>
      <c r="B244" s="105" t="s">
        <v>400</v>
      </c>
      <c r="C244" s="4" t="s">
        <v>1667</v>
      </c>
      <c r="D244" s="133" t="s">
        <v>518</v>
      </c>
      <c r="E244" s="269" t="s">
        <v>1668</v>
      </c>
      <c r="F244" s="269"/>
      <c r="G244" s="264"/>
      <c r="H244" s="240"/>
      <c r="I244" s="240"/>
      <c r="J244" s="270">
        <v>-204</v>
      </c>
      <c r="K244" s="43">
        <f t="shared" si="10"/>
        <v>-204</v>
      </c>
      <c r="L244" s="43">
        <f t="shared" si="11"/>
        <v>11231.52999999999</v>
      </c>
      <c r="M244" s="18" t="s">
        <v>90</v>
      </c>
      <c r="N244" s="11"/>
      <c r="O244"/>
      <c r="W244"/>
      <c r="X244"/>
    </row>
    <row r="245" spans="1:24" x14ac:dyDescent="0.3">
      <c r="A245" s="28"/>
      <c r="B245" s="105" t="s">
        <v>400</v>
      </c>
      <c r="C245" s="4" t="s">
        <v>141</v>
      </c>
      <c r="D245" s="132" t="s">
        <v>513</v>
      </c>
      <c r="E245" s="269" t="s">
        <v>735</v>
      </c>
      <c r="F245" s="269"/>
      <c r="G245" s="264"/>
      <c r="H245" s="246">
        <v>682.5</v>
      </c>
      <c r="I245" s="240"/>
      <c r="J245" s="270"/>
      <c r="K245" s="43">
        <f t="shared" si="10"/>
        <v>682.5</v>
      </c>
      <c r="L245" s="43">
        <f t="shared" si="11"/>
        <v>11914.02999999999</v>
      </c>
      <c r="M245" s="18" t="s">
        <v>90</v>
      </c>
      <c r="N245" s="4"/>
      <c r="O245"/>
      <c r="T245"/>
      <c r="U245"/>
      <c r="V245"/>
    </row>
    <row r="246" spans="1:24" x14ac:dyDescent="0.3">
      <c r="A246" s="28"/>
      <c r="B246" s="105" t="s">
        <v>400</v>
      </c>
      <c r="C246" s="4" t="s">
        <v>1669</v>
      </c>
      <c r="D246" s="132" t="s">
        <v>513</v>
      </c>
      <c r="E246" s="269"/>
      <c r="F246" s="269"/>
      <c r="G246" s="264"/>
      <c r="H246" s="246">
        <v>154</v>
      </c>
      <c r="I246" s="240"/>
      <c r="J246" s="270"/>
      <c r="K246" s="43">
        <f t="shared" si="10"/>
        <v>154</v>
      </c>
      <c r="L246" s="43">
        <f t="shared" si="11"/>
        <v>12068.02999999999</v>
      </c>
      <c r="M246" s="18" t="s">
        <v>90</v>
      </c>
      <c r="N246" s="11"/>
      <c r="O246"/>
      <c r="P246" s="4"/>
      <c r="S246" s="4"/>
      <c r="T246"/>
      <c r="U246"/>
    </row>
    <row r="247" spans="1:24" x14ac:dyDescent="0.3">
      <c r="A247" s="34"/>
      <c r="B247" s="105" t="s">
        <v>400</v>
      </c>
      <c r="C247" s="4" t="s">
        <v>1670</v>
      </c>
      <c r="D247" s="133" t="s">
        <v>512</v>
      </c>
      <c r="E247" s="269" t="s">
        <v>1671</v>
      </c>
      <c r="F247" s="269"/>
      <c r="G247" s="264"/>
      <c r="H247" s="240">
        <v>30</v>
      </c>
      <c r="I247" s="240"/>
      <c r="J247" s="270"/>
      <c r="K247" s="43">
        <f t="shared" ref="K247:K252" si="12">H247+J247</f>
        <v>30</v>
      </c>
      <c r="L247" s="43">
        <f t="shared" si="11"/>
        <v>12098.02999999999</v>
      </c>
      <c r="M247" s="18" t="s">
        <v>90</v>
      </c>
      <c r="O247"/>
      <c r="T247"/>
      <c r="U247" s="11">
        <f>SUM(S237:S246)</f>
        <v>-1063.5</v>
      </c>
      <c r="W247" s="125" t="s">
        <v>1169</v>
      </c>
    </row>
    <row r="248" spans="1:24" x14ac:dyDescent="0.3">
      <c r="A248" s="29"/>
      <c r="B248" s="105" t="s">
        <v>400</v>
      </c>
      <c r="C248" s="214" t="s">
        <v>234</v>
      </c>
      <c r="D248" s="133" t="s">
        <v>12</v>
      </c>
      <c r="E248" s="269" t="s">
        <v>313</v>
      </c>
      <c r="F248" s="240"/>
      <c r="G248" s="264"/>
      <c r="H248" s="240"/>
      <c r="I248" s="240"/>
      <c r="J248" s="270">
        <v>-39.19</v>
      </c>
      <c r="K248" s="43">
        <f t="shared" si="12"/>
        <v>-39.19</v>
      </c>
      <c r="L248" s="43">
        <f t="shared" si="11"/>
        <v>12058.839999999989</v>
      </c>
      <c r="M248" s="18" t="s">
        <v>412</v>
      </c>
      <c r="N248"/>
      <c r="O248"/>
      <c r="P248"/>
      <c r="S248" s="4"/>
    </row>
    <row r="249" spans="1:24" x14ac:dyDescent="0.3">
      <c r="B249" s="105" t="s">
        <v>400</v>
      </c>
      <c r="C249" s="214" t="s">
        <v>234</v>
      </c>
      <c r="D249" s="116" t="s">
        <v>621</v>
      </c>
      <c r="E249" s="269" t="s">
        <v>444</v>
      </c>
      <c r="F249" s="240"/>
      <c r="G249" s="264"/>
      <c r="H249" s="240"/>
      <c r="I249" s="240"/>
      <c r="J249" s="270">
        <v>-50</v>
      </c>
      <c r="K249" s="43">
        <f t="shared" si="12"/>
        <v>-50</v>
      </c>
      <c r="L249" s="43">
        <f t="shared" si="11"/>
        <v>12008.839999999989</v>
      </c>
      <c r="M249" s="18" t="s">
        <v>412</v>
      </c>
      <c r="O249"/>
      <c r="P249"/>
      <c r="S249" s="4"/>
    </row>
    <row r="250" spans="1:24" x14ac:dyDescent="0.3">
      <c r="A250" s="12"/>
      <c r="B250" s="105" t="s">
        <v>400</v>
      </c>
      <c r="C250" s="4" t="s">
        <v>1672</v>
      </c>
      <c r="D250" s="133" t="s">
        <v>11</v>
      </c>
      <c r="E250" s="120" t="s">
        <v>1673</v>
      </c>
      <c r="F250" s="52"/>
      <c r="G250" s="33"/>
      <c r="H250" s="42"/>
      <c r="I250" s="42"/>
      <c r="J250" s="42">
        <v>-261.29000000000002</v>
      </c>
      <c r="K250" s="43">
        <f t="shared" si="12"/>
        <v>-261.29000000000002</v>
      </c>
      <c r="L250" s="43">
        <f t="shared" si="11"/>
        <v>11747.549999999988</v>
      </c>
      <c r="M250" s="16" t="s">
        <v>90</v>
      </c>
      <c r="O250"/>
      <c r="T250"/>
      <c r="U250" s="43"/>
    </row>
    <row r="251" spans="1:24" x14ac:dyDescent="0.3">
      <c r="A251" s="12"/>
      <c r="B251" s="105" t="s">
        <v>400</v>
      </c>
      <c r="C251" s="1" t="s">
        <v>1624</v>
      </c>
      <c r="D251" s="112" t="s">
        <v>504</v>
      </c>
      <c r="E251" s="121" t="s">
        <v>1674</v>
      </c>
      <c r="F251" s="27"/>
      <c r="G251" s="33"/>
      <c r="H251" s="42"/>
      <c r="I251" s="42"/>
      <c r="J251" s="49">
        <v>-50</v>
      </c>
      <c r="K251" s="43">
        <f t="shared" si="12"/>
        <v>-50</v>
      </c>
      <c r="L251" s="43">
        <f t="shared" si="11"/>
        <v>11697.549999999988</v>
      </c>
      <c r="M251" s="16" t="s">
        <v>90</v>
      </c>
      <c r="N251"/>
      <c r="O251" s="4"/>
      <c r="T251"/>
    </row>
    <row r="252" spans="1:24" x14ac:dyDescent="0.3">
      <c r="B252" s="105" t="s">
        <v>400</v>
      </c>
      <c r="C252" s="4" t="s">
        <v>1676</v>
      </c>
      <c r="D252" s="112" t="s">
        <v>504</v>
      </c>
      <c r="E252" s="121" t="s">
        <v>1160</v>
      </c>
      <c r="F252" s="27"/>
      <c r="G252" s="33"/>
      <c r="H252" s="42"/>
      <c r="I252" s="42"/>
      <c r="J252" s="49">
        <v>-50</v>
      </c>
      <c r="K252" s="43">
        <f t="shared" si="12"/>
        <v>-50</v>
      </c>
      <c r="L252" s="43">
        <f t="shared" si="11"/>
        <v>11647.549999999988</v>
      </c>
      <c r="M252" s="16" t="s">
        <v>90</v>
      </c>
      <c r="O252" s="4"/>
    </row>
    <row r="253" spans="1:24" x14ac:dyDescent="0.3">
      <c r="B253" s="131" t="s">
        <v>400</v>
      </c>
      <c r="C253" s="4" t="s">
        <v>1677</v>
      </c>
      <c r="D253" s="133" t="s">
        <v>512</v>
      </c>
      <c r="E253" s="269" t="s">
        <v>1684</v>
      </c>
      <c r="F253" s="269"/>
      <c r="G253" s="264"/>
      <c r="H253" s="240">
        <v>30</v>
      </c>
      <c r="I253" s="240"/>
      <c r="J253" s="270"/>
      <c r="K253" s="43">
        <f t="shared" ref="K253:K269" si="13">H253+J253</f>
        <v>30</v>
      </c>
      <c r="L253" s="43">
        <f t="shared" si="11"/>
        <v>11677.549999999988</v>
      </c>
      <c r="M253" s="16" t="s">
        <v>90</v>
      </c>
      <c r="O253" s="4"/>
    </row>
    <row r="254" spans="1:24" x14ac:dyDescent="0.3">
      <c r="B254" s="131" t="s">
        <v>400</v>
      </c>
      <c r="C254" s="4" t="s">
        <v>1623</v>
      </c>
      <c r="D254" s="133" t="s">
        <v>512</v>
      </c>
      <c r="E254" s="269" t="s">
        <v>1678</v>
      </c>
      <c r="F254" s="269"/>
      <c r="G254" s="264"/>
      <c r="H254" s="240">
        <v>155</v>
      </c>
      <c r="I254" s="240"/>
      <c r="J254" s="270"/>
      <c r="K254" s="43">
        <f t="shared" si="13"/>
        <v>155</v>
      </c>
      <c r="L254" s="43">
        <f t="shared" si="11"/>
        <v>11832.549999999988</v>
      </c>
      <c r="M254" s="16"/>
      <c r="O254" s="4"/>
      <c r="P254"/>
      <c r="Q254"/>
      <c r="R254"/>
      <c r="S254" s="4"/>
      <c r="T254"/>
      <c r="U254" s="11"/>
      <c r="X254" s="57"/>
    </row>
    <row r="255" spans="1:24" x14ac:dyDescent="0.3">
      <c r="B255" s="131" t="s">
        <v>400</v>
      </c>
      <c r="C255" s="4" t="s">
        <v>1679</v>
      </c>
      <c r="D255" s="133" t="s">
        <v>518</v>
      </c>
      <c r="E255" s="269" t="s">
        <v>1680</v>
      </c>
      <c r="F255" s="269"/>
      <c r="G255" s="264"/>
      <c r="H255" s="240"/>
      <c r="I255" s="240"/>
      <c r="J255" s="270">
        <v>-210</v>
      </c>
      <c r="K255" s="43">
        <f t="shared" si="13"/>
        <v>-210</v>
      </c>
      <c r="L255" s="43">
        <f t="shared" si="11"/>
        <v>11622.549999999988</v>
      </c>
      <c r="M255" s="16" t="s">
        <v>90</v>
      </c>
      <c r="O255" s="4"/>
      <c r="P255"/>
      <c r="Q255"/>
      <c r="R255"/>
      <c r="S255" s="4"/>
      <c r="T255"/>
      <c r="U255"/>
      <c r="V255" s="125"/>
      <c r="W255" s="57"/>
    </row>
    <row r="256" spans="1:24" ht="15.5" x14ac:dyDescent="0.35">
      <c r="B256" s="131" t="s">
        <v>400</v>
      </c>
      <c r="C256" s="4" t="s">
        <v>1681</v>
      </c>
      <c r="D256" s="133" t="s">
        <v>518</v>
      </c>
      <c r="E256" s="269" t="s">
        <v>1682</v>
      </c>
      <c r="F256" s="269"/>
      <c r="G256" s="264"/>
      <c r="H256" s="240"/>
      <c r="I256" s="240"/>
      <c r="J256" s="270">
        <v>-61.92</v>
      </c>
      <c r="K256" s="43">
        <f t="shared" si="13"/>
        <v>-61.92</v>
      </c>
      <c r="L256" s="43">
        <f t="shared" si="11"/>
        <v>11560.629999999988</v>
      </c>
      <c r="M256" s="16" t="s">
        <v>90</v>
      </c>
      <c r="O256" s="4"/>
      <c r="P256"/>
      <c r="Q256"/>
      <c r="R256"/>
      <c r="S256" s="4"/>
      <c r="T256"/>
      <c r="U256" s="332">
        <f>U233+U247</f>
        <v>11680.63</v>
      </c>
      <c r="W256" t="s">
        <v>588</v>
      </c>
    </row>
    <row r="257" spans="1:21" x14ac:dyDescent="0.3">
      <c r="B257" s="131" t="s">
        <v>400</v>
      </c>
      <c r="C257" s="4" t="s">
        <v>444</v>
      </c>
      <c r="D257" s="133" t="s">
        <v>512</v>
      </c>
      <c r="E257" s="269" t="s">
        <v>1691</v>
      </c>
      <c r="F257" s="269"/>
      <c r="G257" s="264" t="s">
        <v>1721</v>
      </c>
      <c r="H257" s="240">
        <v>60</v>
      </c>
      <c r="I257" s="240"/>
      <c r="J257" s="270"/>
      <c r="K257" s="43">
        <f t="shared" si="13"/>
        <v>60</v>
      </c>
      <c r="L257" s="43">
        <f t="shared" si="11"/>
        <v>11620.629999999988</v>
      </c>
      <c r="M257" s="16"/>
      <c r="N257"/>
      <c r="O257" s="4"/>
      <c r="Q257" s="15"/>
      <c r="R257" s="4"/>
      <c r="S257"/>
    </row>
    <row r="258" spans="1:21" ht="15.5" x14ac:dyDescent="0.35">
      <c r="B258" s="131" t="s">
        <v>400</v>
      </c>
      <c r="C258" s="4" t="s">
        <v>1617</v>
      </c>
      <c r="D258" s="133" t="s">
        <v>512</v>
      </c>
      <c r="E258" s="269" t="s">
        <v>1685</v>
      </c>
      <c r="F258" s="269"/>
      <c r="G258" s="264"/>
      <c r="H258" s="240">
        <v>60</v>
      </c>
      <c r="I258" s="240"/>
      <c r="J258" s="270"/>
      <c r="K258" s="43">
        <f t="shared" si="13"/>
        <v>60</v>
      </c>
      <c r="L258" s="331">
        <f t="shared" si="11"/>
        <v>11680.629999999988</v>
      </c>
      <c r="M258" s="16" t="s">
        <v>90</v>
      </c>
      <c r="O258" s="4"/>
      <c r="Q258" s="15"/>
      <c r="R258" s="4"/>
      <c r="S258"/>
    </row>
    <row r="259" spans="1:21" x14ac:dyDescent="0.3">
      <c r="A259" s="342" t="s">
        <v>897</v>
      </c>
      <c r="B259" s="131"/>
      <c r="C259" s="4"/>
      <c r="D259" s="133"/>
      <c r="E259" s="269"/>
      <c r="F259" s="269"/>
      <c r="G259" s="264"/>
      <c r="H259" s="240"/>
      <c r="I259" s="240"/>
      <c r="J259" s="270"/>
      <c r="K259" s="43">
        <f t="shared" si="13"/>
        <v>0</v>
      </c>
      <c r="L259" s="43">
        <f t="shared" ref="L259:L269" si="14">L258+K259</f>
        <v>11680.629999999988</v>
      </c>
      <c r="M259" s="16"/>
      <c r="O259" s="4"/>
      <c r="Q259" s="15"/>
      <c r="R259" s="4"/>
      <c r="S259"/>
    </row>
    <row r="260" spans="1:21" x14ac:dyDescent="0.3">
      <c r="B260" s="131" t="s">
        <v>491</v>
      </c>
      <c r="C260" s="4" t="s">
        <v>58</v>
      </c>
      <c r="D260" s="132" t="s">
        <v>9</v>
      </c>
      <c r="E260" s="1" t="s">
        <v>863</v>
      </c>
      <c r="J260" s="42">
        <v>-129.75</v>
      </c>
      <c r="K260" s="43">
        <f t="shared" si="13"/>
        <v>-129.75</v>
      </c>
      <c r="L260" s="43">
        <f t="shared" si="14"/>
        <v>11550.879999999988</v>
      </c>
      <c r="M260" s="16" t="s">
        <v>90</v>
      </c>
      <c r="O260" s="4"/>
      <c r="Q260" s="15"/>
      <c r="R260" s="4"/>
      <c r="S260"/>
    </row>
    <row r="261" spans="1:21" x14ac:dyDescent="0.3">
      <c r="B261" s="131" t="s">
        <v>491</v>
      </c>
      <c r="C261" s="4" t="s">
        <v>58</v>
      </c>
      <c r="D261" s="133" t="s">
        <v>8</v>
      </c>
      <c r="E261" s="1" t="s">
        <v>863</v>
      </c>
      <c r="F261" s="27"/>
      <c r="G261" s="33"/>
      <c r="H261" s="42"/>
      <c r="I261" s="171"/>
      <c r="J261" s="42">
        <v>-150.41</v>
      </c>
      <c r="K261" s="43">
        <f t="shared" si="13"/>
        <v>-150.41</v>
      </c>
      <c r="L261" s="43">
        <f t="shared" si="14"/>
        <v>11400.469999999988</v>
      </c>
      <c r="M261" s="16" t="s">
        <v>90</v>
      </c>
      <c r="O261" s="4"/>
      <c r="Q261" s="15"/>
      <c r="R261" s="4"/>
      <c r="S261"/>
    </row>
    <row r="262" spans="1:21" x14ac:dyDescent="0.3">
      <c r="B262" s="131" t="s">
        <v>491</v>
      </c>
      <c r="C262" s="4" t="s">
        <v>299</v>
      </c>
      <c r="D262" s="133" t="s">
        <v>301</v>
      </c>
      <c r="E262" s="213"/>
      <c r="F262" s="213"/>
      <c r="G262" s="214"/>
      <c r="H262" s="215"/>
      <c r="I262" s="215"/>
      <c r="J262" s="232">
        <v>-44.94</v>
      </c>
      <c r="K262" s="43">
        <f t="shared" si="13"/>
        <v>-44.94</v>
      </c>
      <c r="L262" s="43">
        <f t="shared" si="14"/>
        <v>11355.529999999988</v>
      </c>
      <c r="M262" s="16" t="s">
        <v>90</v>
      </c>
      <c r="O262" s="4"/>
      <c r="Q262" s="15"/>
      <c r="R262" s="4"/>
      <c r="S262"/>
    </row>
    <row r="263" spans="1:21" x14ac:dyDescent="0.3">
      <c r="B263" s="131" t="s">
        <v>491</v>
      </c>
      <c r="C263" s="4" t="s">
        <v>607</v>
      </c>
      <c r="D263" s="133" t="s">
        <v>11</v>
      </c>
      <c r="E263" s="213" t="s">
        <v>1664</v>
      </c>
      <c r="F263" s="213"/>
      <c r="G263" s="214"/>
      <c r="H263" s="215"/>
      <c r="I263" s="215"/>
      <c r="J263" s="232">
        <v>0</v>
      </c>
      <c r="K263" s="43">
        <f t="shared" si="13"/>
        <v>0</v>
      </c>
      <c r="L263" s="43">
        <f t="shared" si="14"/>
        <v>11355.529999999988</v>
      </c>
      <c r="M263" s="16" t="s">
        <v>90</v>
      </c>
      <c r="O263" s="4"/>
      <c r="Q263" s="15"/>
      <c r="R263" s="4"/>
      <c r="S263"/>
    </row>
    <row r="264" spans="1:21" x14ac:dyDescent="0.3">
      <c r="B264" s="131" t="s">
        <v>491</v>
      </c>
      <c r="C264" s="214" t="s">
        <v>1109</v>
      </c>
      <c r="D264" s="133" t="s">
        <v>12</v>
      </c>
      <c r="E264" s="213"/>
      <c r="F264" s="215"/>
      <c r="G264" s="214"/>
      <c r="H264" s="215"/>
      <c r="I264" s="215"/>
      <c r="J264" s="232">
        <v>-38.81</v>
      </c>
      <c r="K264" s="43">
        <f t="shared" si="13"/>
        <v>-38.81</v>
      </c>
      <c r="L264" s="43">
        <f t="shared" si="14"/>
        <v>11316.719999999988</v>
      </c>
      <c r="M264" s="16" t="s">
        <v>90</v>
      </c>
      <c r="O264" s="4"/>
      <c r="Q264" s="15"/>
      <c r="R264" s="4"/>
      <c r="S264"/>
    </row>
    <row r="265" spans="1:21" x14ac:dyDescent="0.3">
      <c r="B265" s="131" t="s">
        <v>491</v>
      </c>
      <c r="C265" s="4" t="s">
        <v>48</v>
      </c>
      <c r="D265" s="133" t="s">
        <v>12</v>
      </c>
      <c r="E265" s="213"/>
      <c r="F265" s="215"/>
      <c r="G265" s="214"/>
      <c r="H265" s="215"/>
      <c r="I265" s="215"/>
      <c r="J265" s="232">
        <v>-72.42</v>
      </c>
      <c r="K265" s="43">
        <f t="shared" si="13"/>
        <v>-72.42</v>
      </c>
      <c r="L265" s="43">
        <f t="shared" si="14"/>
        <v>11244.299999999988</v>
      </c>
      <c r="M265" s="16" t="s">
        <v>90</v>
      </c>
      <c r="O265" s="4"/>
      <c r="Q265" s="15"/>
      <c r="R265" s="4"/>
      <c r="S265"/>
    </row>
    <row r="266" spans="1:21" x14ac:dyDescent="0.3">
      <c r="B266" s="131" t="s">
        <v>491</v>
      </c>
      <c r="C266" s="4" t="s">
        <v>1544</v>
      </c>
      <c r="D266" s="133" t="s">
        <v>12</v>
      </c>
      <c r="E266" s="1" t="s">
        <v>897</v>
      </c>
      <c r="J266" s="43">
        <v>-292.5</v>
      </c>
      <c r="K266" s="43">
        <f t="shared" si="13"/>
        <v>-292.5</v>
      </c>
      <c r="L266" s="43">
        <f t="shared" si="14"/>
        <v>10951.799999999988</v>
      </c>
      <c r="M266" s="16" t="s">
        <v>1257</v>
      </c>
      <c r="O266" s="4"/>
      <c r="Q266" s="15"/>
      <c r="R266" s="4"/>
      <c r="S266"/>
    </row>
    <row r="267" spans="1:21" x14ac:dyDescent="0.3">
      <c r="B267" s="131" t="s">
        <v>491</v>
      </c>
      <c r="C267" s="4" t="s">
        <v>1713</v>
      </c>
      <c r="D267" s="133" t="s">
        <v>512</v>
      </c>
      <c r="E267" s="269" t="s">
        <v>1665</v>
      </c>
      <c r="F267" s="269"/>
      <c r="G267" s="264"/>
      <c r="H267" s="240">
        <v>60</v>
      </c>
      <c r="I267" s="240"/>
      <c r="J267" s="270"/>
      <c r="K267" s="43">
        <f t="shared" si="13"/>
        <v>60</v>
      </c>
      <c r="L267" s="43">
        <f t="shared" si="14"/>
        <v>11011.799999999988</v>
      </c>
      <c r="M267" s="16" t="s">
        <v>412</v>
      </c>
      <c r="O267" s="4"/>
      <c r="Q267" s="15"/>
      <c r="R267" s="4"/>
      <c r="S267"/>
    </row>
    <row r="268" spans="1:21" x14ac:dyDescent="0.3">
      <c r="B268" s="131" t="s">
        <v>491</v>
      </c>
      <c r="C268" s="4" t="s">
        <v>1713</v>
      </c>
      <c r="D268" s="112" t="s">
        <v>500</v>
      </c>
      <c r="E268" s="121" t="s">
        <v>1714</v>
      </c>
      <c r="F268" s="27"/>
      <c r="G268" s="340"/>
      <c r="H268" s="49">
        <v>50</v>
      </c>
      <c r="I268" s="240"/>
      <c r="J268" s="270"/>
      <c r="K268" s="43">
        <f t="shared" si="13"/>
        <v>50</v>
      </c>
      <c r="L268" s="43">
        <f t="shared" si="14"/>
        <v>11061.799999999988</v>
      </c>
      <c r="M268" s="16" t="s">
        <v>412</v>
      </c>
      <c r="O268" s="4"/>
      <c r="Q268" s="15"/>
      <c r="R268" s="4"/>
      <c r="S268"/>
    </row>
    <row r="269" spans="1:21" x14ac:dyDescent="0.3">
      <c r="A269" s="28"/>
      <c r="B269" s="131" t="s">
        <v>491</v>
      </c>
      <c r="C269" s="4" t="s">
        <v>1715</v>
      </c>
      <c r="D269" s="112" t="s">
        <v>500</v>
      </c>
      <c r="E269" s="121" t="s">
        <v>1718</v>
      </c>
      <c r="F269" s="269"/>
      <c r="G269" s="341" t="s">
        <v>1720</v>
      </c>
      <c r="H269" s="239">
        <v>200</v>
      </c>
      <c r="I269" s="240"/>
      <c r="J269" s="270"/>
      <c r="K269" s="43">
        <f t="shared" si="13"/>
        <v>200</v>
      </c>
      <c r="L269" s="43">
        <f t="shared" si="14"/>
        <v>11261.799999999988</v>
      </c>
      <c r="M269" s="18" t="s">
        <v>534</v>
      </c>
      <c r="N269" t="s">
        <v>1723</v>
      </c>
      <c r="O269" s="15"/>
      <c r="P269" s="11"/>
      <c r="Q269" s="15"/>
      <c r="U269" s="11"/>
    </row>
    <row r="270" spans="1:21" x14ac:dyDescent="0.3">
      <c r="A270" s="28"/>
      <c r="B270" s="131" t="s">
        <v>491</v>
      </c>
      <c r="C270" s="4" t="s">
        <v>1724</v>
      </c>
      <c r="D270" s="112" t="s">
        <v>500</v>
      </c>
      <c r="E270" s="121" t="s">
        <v>1719</v>
      </c>
      <c r="F270" s="27"/>
      <c r="G270" s="340"/>
      <c r="H270" s="49">
        <v>50</v>
      </c>
      <c r="I270" s="240"/>
      <c r="J270" s="270"/>
      <c r="K270" s="43">
        <f t="shared" ref="K270:K292" si="15">H270+J270</f>
        <v>50</v>
      </c>
      <c r="L270" s="43">
        <f t="shared" ref="L270:L292" si="16">L269+K270</f>
        <v>11311.799999999988</v>
      </c>
      <c r="M270" s="18" t="s">
        <v>90</v>
      </c>
      <c r="O270" s="15"/>
      <c r="P270" s="11"/>
      <c r="Q270" s="15"/>
      <c r="U270" s="11"/>
    </row>
    <row r="271" spans="1:21" x14ac:dyDescent="0.3">
      <c r="A271" s="28"/>
      <c r="B271" s="131" t="s">
        <v>491</v>
      </c>
      <c r="C271" s="4" t="s">
        <v>1717</v>
      </c>
      <c r="D271" s="112" t="s">
        <v>500</v>
      </c>
      <c r="E271" s="121" t="s">
        <v>1722</v>
      </c>
      <c r="F271" s="269"/>
      <c r="G271" s="343"/>
      <c r="H271" s="239">
        <v>150</v>
      </c>
      <c r="I271" s="240"/>
      <c r="J271" s="270"/>
      <c r="K271" s="43">
        <f t="shared" si="15"/>
        <v>150</v>
      </c>
      <c r="L271" s="43">
        <f t="shared" si="16"/>
        <v>11461.799999999988</v>
      </c>
      <c r="M271" s="18" t="s">
        <v>412</v>
      </c>
      <c r="N271" t="s">
        <v>1726</v>
      </c>
      <c r="O271" s="15"/>
      <c r="P271" s="11"/>
    </row>
    <row r="272" spans="1:21" x14ac:dyDescent="0.3">
      <c r="A272" s="28"/>
      <c r="B272" s="131" t="s">
        <v>491</v>
      </c>
      <c r="C272" s="4" t="s">
        <v>1717</v>
      </c>
      <c r="D272" s="132" t="s">
        <v>512</v>
      </c>
      <c r="E272" s="120" t="s">
        <v>1727</v>
      </c>
      <c r="F272" s="269"/>
      <c r="G272" s="264"/>
      <c r="H272" s="240">
        <v>200</v>
      </c>
      <c r="I272" s="240"/>
      <c r="J272" s="270"/>
      <c r="K272" s="43">
        <f>H272+J272</f>
        <v>200</v>
      </c>
      <c r="L272" s="43">
        <f t="shared" ref="L272:L282" si="17">L271+K272</f>
        <v>11661.799999999988</v>
      </c>
      <c r="M272" s="18" t="s">
        <v>412</v>
      </c>
      <c r="O272" s="15"/>
      <c r="P272" s="11"/>
    </row>
    <row r="273" spans="1:24" x14ac:dyDescent="0.3">
      <c r="A273" s="28"/>
      <c r="B273" s="131" t="s">
        <v>491</v>
      </c>
      <c r="C273" s="4" t="s">
        <v>1755</v>
      </c>
      <c r="D273" s="133" t="s">
        <v>518</v>
      </c>
      <c r="E273" s="269" t="s">
        <v>1725</v>
      </c>
      <c r="F273" s="269"/>
      <c r="G273" s="264"/>
      <c r="H273" s="240"/>
      <c r="I273" s="240"/>
      <c r="J273" s="270">
        <v>-281.7</v>
      </c>
      <c r="K273" s="43">
        <f t="shared" si="15"/>
        <v>-281.7</v>
      </c>
      <c r="L273" s="43">
        <f t="shared" si="17"/>
        <v>11380.099999999988</v>
      </c>
      <c r="M273" s="18" t="s">
        <v>90</v>
      </c>
      <c r="O273" s="15"/>
      <c r="P273" s="11"/>
    </row>
    <row r="274" spans="1:24" x14ac:dyDescent="0.3">
      <c r="A274" s="28"/>
      <c r="B274" s="131" t="s">
        <v>491</v>
      </c>
      <c r="C274" s="4" t="s">
        <v>1730</v>
      </c>
      <c r="D274" s="132" t="s">
        <v>512</v>
      </c>
      <c r="E274" s="269" t="s">
        <v>1729</v>
      </c>
      <c r="F274" s="269"/>
      <c r="G274" s="264"/>
      <c r="H274" s="240">
        <v>10</v>
      </c>
      <c r="I274" s="240"/>
      <c r="J274" s="270"/>
      <c r="K274" s="43">
        <f t="shared" si="15"/>
        <v>10</v>
      </c>
      <c r="L274" s="43">
        <f t="shared" si="17"/>
        <v>11390.099999999988</v>
      </c>
      <c r="M274" s="18" t="s">
        <v>90</v>
      </c>
      <c r="O274" s="15"/>
      <c r="P274" s="11"/>
    </row>
    <row r="275" spans="1:24" x14ac:dyDescent="0.3">
      <c r="A275" s="28"/>
      <c r="B275" s="131" t="s">
        <v>491</v>
      </c>
      <c r="C275" s="4" t="s">
        <v>1728</v>
      </c>
      <c r="D275" s="133" t="s">
        <v>518</v>
      </c>
      <c r="E275" s="269" t="s">
        <v>1551</v>
      </c>
      <c r="F275" s="269"/>
      <c r="G275" s="264"/>
      <c r="H275" s="240"/>
      <c r="I275" s="240"/>
      <c r="J275" s="270">
        <v>-150</v>
      </c>
      <c r="K275" s="43">
        <f t="shared" si="15"/>
        <v>-150</v>
      </c>
      <c r="L275" s="43">
        <f t="shared" si="17"/>
        <v>11240.099999999988</v>
      </c>
      <c r="M275" s="18" t="s">
        <v>90</v>
      </c>
      <c r="O275" s="15"/>
      <c r="P275" s="11"/>
    </row>
    <row r="276" spans="1:24" x14ac:dyDescent="0.3">
      <c r="A276" s="28"/>
      <c r="B276" s="131" t="s">
        <v>491</v>
      </c>
      <c r="C276" s="4" t="s">
        <v>159</v>
      </c>
      <c r="D276" s="132" t="s">
        <v>513</v>
      </c>
      <c r="E276" s="269"/>
      <c r="F276" s="269"/>
      <c r="G276" s="264"/>
      <c r="H276" s="246">
        <v>56</v>
      </c>
      <c r="I276" s="240"/>
      <c r="J276" s="270"/>
      <c r="K276" s="43">
        <f t="shared" si="15"/>
        <v>56</v>
      </c>
      <c r="L276" s="43">
        <f t="shared" si="17"/>
        <v>11296.099999999988</v>
      </c>
      <c r="M276" s="18" t="s">
        <v>90</v>
      </c>
      <c r="N276" t="s">
        <v>1721</v>
      </c>
      <c r="O276" s="15"/>
      <c r="P276" s="11"/>
    </row>
    <row r="277" spans="1:24" x14ac:dyDescent="0.3">
      <c r="A277" s="28"/>
      <c r="B277" s="131" t="s">
        <v>491</v>
      </c>
      <c r="C277" s="4" t="s">
        <v>1731</v>
      </c>
      <c r="D277" s="112" t="s">
        <v>500</v>
      </c>
      <c r="E277" s="121" t="s">
        <v>1732</v>
      </c>
      <c r="F277" s="269"/>
      <c r="G277" s="341"/>
      <c r="H277" s="239">
        <v>50</v>
      </c>
      <c r="I277" s="240"/>
      <c r="J277" s="270"/>
      <c r="K277" s="43">
        <f t="shared" si="15"/>
        <v>50</v>
      </c>
      <c r="L277" s="43">
        <f t="shared" si="17"/>
        <v>11346.099999999988</v>
      </c>
      <c r="M277" s="18" t="s">
        <v>412</v>
      </c>
      <c r="O277" s="15"/>
      <c r="P277" s="11"/>
    </row>
    <row r="278" spans="1:24" x14ac:dyDescent="0.3">
      <c r="A278" s="28"/>
      <c r="B278" s="131" t="s">
        <v>491</v>
      </c>
      <c r="C278" s="4" t="s">
        <v>1731</v>
      </c>
      <c r="D278" s="132" t="s">
        <v>512</v>
      </c>
      <c r="E278" s="269" t="s">
        <v>1733</v>
      </c>
      <c r="F278" s="269"/>
      <c r="G278" s="264"/>
      <c r="H278" s="240">
        <v>60</v>
      </c>
      <c r="I278" s="240"/>
      <c r="J278" s="270"/>
      <c r="K278" s="43">
        <f t="shared" si="15"/>
        <v>60</v>
      </c>
      <c r="L278" s="43">
        <f t="shared" si="17"/>
        <v>11406.099999999988</v>
      </c>
      <c r="M278" s="18" t="s">
        <v>412</v>
      </c>
      <c r="O278" s="15"/>
      <c r="P278" s="11"/>
    </row>
    <row r="279" spans="1:24" x14ac:dyDescent="0.3">
      <c r="A279" s="28"/>
      <c r="B279" s="131" t="s">
        <v>491</v>
      </c>
      <c r="C279" s="4" t="s">
        <v>268</v>
      </c>
      <c r="D279" s="133" t="s">
        <v>518</v>
      </c>
      <c r="E279" s="269" t="s">
        <v>1734</v>
      </c>
      <c r="F279" s="269"/>
      <c r="G279" s="264"/>
      <c r="H279" s="240"/>
      <c r="I279" s="240"/>
      <c r="J279" s="270">
        <v>-24</v>
      </c>
      <c r="K279" s="43">
        <f t="shared" si="15"/>
        <v>-24</v>
      </c>
      <c r="L279" s="43">
        <f t="shared" si="17"/>
        <v>11382.099999999988</v>
      </c>
      <c r="M279" s="18" t="s">
        <v>90</v>
      </c>
      <c r="O279" s="15"/>
      <c r="P279" s="11"/>
    </row>
    <row r="280" spans="1:24" x14ac:dyDescent="0.3">
      <c r="A280" s="28"/>
      <c r="B280" s="131" t="s">
        <v>491</v>
      </c>
      <c r="C280" s="4" t="s">
        <v>1735</v>
      </c>
      <c r="D280" s="133" t="s">
        <v>301</v>
      </c>
      <c r="E280" s="269" t="s">
        <v>1736</v>
      </c>
      <c r="F280" s="269"/>
      <c r="G280" s="264"/>
      <c r="H280" s="240"/>
      <c r="I280" s="240"/>
      <c r="J280" s="270">
        <v>-38</v>
      </c>
      <c r="K280" s="43">
        <f t="shared" si="15"/>
        <v>-38</v>
      </c>
      <c r="L280" s="43">
        <f t="shared" si="17"/>
        <v>11344.099999999988</v>
      </c>
      <c r="M280" s="18" t="s">
        <v>90</v>
      </c>
      <c r="O280" s="15"/>
      <c r="P280" s="11"/>
    </row>
    <row r="281" spans="1:24" x14ac:dyDescent="0.3">
      <c r="A281" s="28"/>
      <c r="B281" s="131" t="s">
        <v>491</v>
      </c>
      <c r="C281" s="4" t="s">
        <v>1735</v>
      </c>
      <c r="D281" s="116" t="s">
        <v>621</v>
      </c>
      <c r="E281" s="269" t="s">
        <v>1737</v>
      </c>
      <c r="F281" s="269"/>
      <c r="G281" s="264"/>
      <c r="H281" s="240"/>
      <c r="I281" s="240"/>
      <c r="J281" s="270">
        <v>-417</v>
      </c>
      <c r="K281" s="43">
        <f t="shared" si="15"/>
        <v>-417</v>
      </c>
      <c r="L281" s="43">
        <f t="shared" si="17"/>
        <v>10927.099999999988</v>
      </c>
      <c r="M281" s="18" t="s">
        <v>90</v>
      </c>
      <c r="O281" s="15"/>
      <c r="P281" s="11"/>
    </row>
    <row r="282" spans="1:24" x14ac:dyDescent="0.3">
      <c r="A282" s="28"/>
      <c r="B282" s="131" t="s">
        <v>491</v>
      </c>
      <c r="C282" s="4" t="s">
        <v>1738</v>
      </c>
      <c r="D282" s="112" t="s">
        <v>500</v>
      </c>
      <c r="E282" s="121" t="s">
        <v>1739</v>
      </c>
      <c r="F282" s="269"/>
      <c r="G282" s="341"/>
      <c r="H282" s="239">
        <v>50</v>
      </c>
      <c r="I282" s="240"/>
      <c r="J282" s="270"/>
      <c r="K282" s="43">
        <f t="shared" si="15"/>
        <v>50</v>
      </c>
      <c r="L282" s="43">
        <f t="shared" si="17"/>
        <v>10977.099999999988</v>
      </c>
      <c r="M282" s="18" t="s">
        <v>412</v>
      </c>
      <c r="O282" s="15"/>
      <c r="P282" s="11"/>
      <c r="Q282" s="30" t="s">
        <v>1742</v>
      </c>
      <c r="R282" s="30"/>
      <c r="S282" s="30"/>
      <c r="T282"/>
      <c r="U282"/>
      <c r="V282"/>
      <c r="X282"/>
    </row>
    <row r="283" spans="1:24" x14ac:dyDescent="0.3">
      <c r="A283" s="28"/>
      <c r="B283" s="131" t="s">
        <v>491</v>
      </c>
      <c r="C283" s="4" t="s">
        <v>1738</v>
      </c>
      <c r="D283" s="132" t="s">
        <v>512</v>
      </c>
      <c r="E283" s="269" t="s">
        <v>1740</v>
      </c>
      <c r="F283" s="269"/>
      <c r="G283" s="264"/>
      <c r="H283" s="240">
        <v>80</v>
      </c>
      <c r="I283" s="240"/>
      <c r="J283" s="270"/>
      <c r="K283" s="43">
        <f t="shared" si="15"/>
        <v>80</v>
      </c>
      <c r="L283" s="43">
        <f t="shared" si="16"/>
        <v>11057.099999999988</v>
      </c>
      <c r="M283" s="18" t="s">
        <v>412</v>
      </c>
      <c r="N283" t="s">
        <v>1775</v>
      </c>
      <c r="O283" s="15"/>
      <c r="P283" s="11"/>
      <c r="Q283"/>
      <c r="R283"/>
      <c r="S283"/>
      <c r="T283"/>
      <c r="U283"/>
      <c r="V283"/>
      <c r="X283"/>
    </row>
    <row r="284" spans="1:24" x14ac:dyDescent="0.3">
      <c r="A284" s="28"/>
      <c r="B284" s="131" t="s">
        <v>491</v>
      </c>
      <c r="C284" s="4" t="s">
        <v>1735</v>
      </c>
      <c r="D284" s="116" t="s">
        <v>621</v>
      </c>
      <c r="E284" s="269" t="s">
        <v>1743</v>
      </c>
      <c r="F284" s="269"/>
      <c r="G284" s="264"/>
      <c r="H284" s="240"/>
      <c r="I284" s="240"/>
      <c r="J284" s="270">
        <v>-72</v>
      </c>
      <c r="K284" s="43">
        <f t="shared" si="15"/>
        <v>-72</v>
      </c>
      <c r="L284" s="43">
        <f t="shared" si="16"/>
        <v>10985.099999999988</v>
      </c>
      <c r="M284" s="18" t="s">
        <v>90</v>
      </c>
      <c r="O284" s="15"/>
      <c r="P284" s="11"/>
      <c r="Q284" t="s">
        <v>584</v>
      </c>
      <c r="R284"/>
      <c r="S284"/>
      <c r="T284"/>
      <c r="U284"/>
      <c r="V284">
        <f>12946.15</f>
        <v>12946.15</v>
      </c>
      <c r="X284"/>
    </row>
    <row r="285" spans="1:24" x14ac:dyDescent="0.3">
      <c r="A285" s="28"/>
      <c r="B285" s="131" t="s">
        <v>491</v>
      </c>
      <c r="C285" s="4"/>
      <c r="D285" s="112"/>
      <c r="E285" s="120"/>
      <c r="F285" s="269"/>
      <c r="G285" s="264"/>
      <c r="H285" s="240"/>
      <c r="I285" s="240"/>
      <c r="J285" s="270"/>
      <c r="K285" s="43">
        <f t="shared" si="15"/>
        <v>0</v>
      </c>
      <c r="L285" s="43">
        <f t="shared" si="16"/>
        <v>10985.099999999988</v>
      </c>
      <c r="O285" s="15"/>
      <c r="P285" s="11"/>
      <c r="Q285" t="s">
        <v>586</v>
      </c>
      <c r="R285"/>
      <c r="S285"/>
      <c r="T285"/>
      <c r="U285"/>
      <c r="V285"/>
      <c r="X285"/>
    </row>
    <row r="286" spans="1:24" x14ac:dyDescent="0.3">
      <c r="A286" s="28"/>
      <c r="B286" s="131" t="s">
        <v>491</v>
      </c>
      <c r="C286" s="4"/>
      <c r="D286" s="132"/>
      <c r="E286" s="269"/>
      <c r="F286" s="269"/>
      <c r="G286" s="264"/>
      <c r="H286" s="240"/>
      <c r="I286" s="240"/>
      <c r="J286" s="270"/>
      <c r="K286" s="43">
        <f t="shared" si="15"/>
        <v>0</v>
      </c>
      <c r="L286" s="43">
        <f t="shared" si="16"/>
        <v>10985.099999999988</v>
      </c>
      <c r="O286" s="15"/>
      <c r="P286" s="11"/>
      <c r="Q286" t="s">
        <v>1531</v>
      </c>
      <c r="R286"/>
      <c r="S286"/>
      <c r="T286" s="4">
        <v>-1096</v>
      </c>
      <c r="U286"/>
      <c r="V286"/>
      <c r="X286"/>
    </row>
    <row r="287" spans="1:24" x14ac:dyDescent="0.3">
      <c r="A287" s="28"/>
      <c r="B287" s="131" t="s">
        <v>491</v>
      </c>
      <c r="C287" s="4" t="s">
        <v>1172</v>
      </c>
      <c r="D287" s="132" t="s">
        <v>512</v>
      </c>
      <c r="E287" s="269" t="s">
        <v>1750</v>
      </c>
      <c r="F287" s="269"/>
      <c r="G287" s="264"/>
      <c r="H287" s="240">
        <v>15</v>
      </c>
      <c r="I287" s="240"/>
      <c r="J287" s="270"/>
      <c r="K287" s="43">
        <f t="shared" si="15"/>
        <v>15</v>
      </c>
      <c r="L287" s="43">
        <f t="shared" si="16"/>
        <v>11000.099999999988</v>
      </c>
      <c r="M287" s="18" t="s">
        <v>90</v>
      </c>
      <c r="O287" s="15"/>
      <c r="P287" s="11"/>
      <c r="Q287" s="4"/>
      <c r="T287" s="4"/>
      <c r="U287"/>
      <c r="V287"/>
      <c r="X287"/>
    </row>
    <row r="288" spans="1:24" x14ac:dyDescent="0.3">
      <c r="A288" s="28"/>
      <c r="B288" s="131" t="s">
        <v>491</v>
      </c>
      <c r="C288" s="4" t="s">
        <v>1623</v>
      </c>
      <c r="D288" s="133" t="s">
        <v>512</v>
      </c>
      <c r="E288" s="269" t="s">
        <v>1744</v>
      </c>
      <c r="F288" s="269"/>
      <c r="G288" s="264"/>
      <c r="H288" s="240"/>
      <c r="I288" s="240"/>
      <c r="J288" s="270">
        <v>-20</v>
      </c>
      <c r="K288" s="43">
        <f t="shared" si="15"/>
        <v>-20</v>
      </c>
      <c r="L288" s="43">
        <f t="shared" si="16"/>
        <v>10980.099999999988</v>
      </c>
      <c r="M288" s="18" t="s">
        <v>90</v>
      </c>
      <c r="O288" s="15"/>
      <c r="P288" s="11"/>
      <c r="Q288" s="4" t="s">
        <v>1544</v>
      </c>
      <c r="R288" s="11"/>
      <c r="T288" s="4">
        <v>-292.5</v>
      </c>
      <c r="U288" t="s">
        <v>1257</v>
      </c>
      <c r="V288"/>
      <c r="X288"/>
    </row>
    <row r="289" spans="1:24" x14ac:dyDescent="0.3">
      <c r="A289" s="28"/>
      <c r="B289" s="131" t="s">
        <v>491</v>
      </c>
      <c r="C289" s="4" t="s">
        <v>240</v>
      </c>
      <c r="D289" s="132" t="s">
        <v>512</v>
      </c>
      <c r="E289" s="269" t="s">
        <v>1745</v>
      </c>
      <c r="F289" s="269"/>
      <c r="G289" s="264"/>
      <c r="H289" s="240">
        <v>100</v>
      </c>
      <c r="I289" s="240"/>
      <c r="J289" s="270"/>
      <c r="K289" s="43">
        <f t="shared" si="15"/>
        <v>100</v>
      </c>
      <c r="L289" s="43">
        <f t="shared" si="16"/>
        <v>11080.099999999988</v>
      </c>
      <c r="M289" s="18" t="s">
        <v>1257</v>
      </c>
      <c r="N289" t="s">
        <v>1721</v>
      </c>
      <c r="O289" s="15"/>
      <c r="P289" s="11"/>
      <c r="Q289" s="4"/>
      <c r="R289"/>
      <c r="S289"/>
      <c r="T289" s="4"/>
      <c r="U289"/>
      <c r="V289"/>
      <c r="X289"/>
    </row>
    <row r="290" spans="1:24" x14ac:dyDescent="0.3">
      <c r="A290" s="28"/>
      <c r="B290" s="131" t="s">
        <v>491</v>
      </c>
      <c r="C290" s="4" t="s">
        <v>1746</v>
      </c>
      <c r="D290" s="112" t="s">
        <v>500</v>
      </c>
      <c r="E290" s="121" t="s">
        <v>1747</v>
      </c>
      <c r="F290" s="269"/>
      <c r="G290" s="341"/>
      <c r="H290" s="239">
        <v>50</v>
      </c>
      <c r="I290" s="240"/>
      <c r="J290" s="270"/>
      <c r="K290" s="43">
        <f t="shared" si="15"/>
        <v>50</v>
      </c>
      <c r="L290" s="43">
        <f t="shared" si="16"/>
        <v>11130.099999999988</v>
      </c>
      <c r="M290" s="18" t="s">
        <v>412</v>
      </c>
      <c r="O290" s="15"/>
      <c r="P290" s="11"/>
      <c r="Q290" s="4" t="s">
        <v>240</v>
      </c>
      <c r="R290"/>
      <c r="S290"/>
      <c r="T290" s="125">
        <v>100</v>
      </c>
      <c r="U290" t="s">
        <v>1257</v>
      </c>
      <c r="V290" s="18"/>
      <c r="X290"/>
    </row>
    <row r="291" spans="1:24" x14ac:dyDescent="0.3">
      <c r="A291" s="28"/>
      <c r="B291" s="131" t="s">
        <v>491</v>
      </c>
      <c r="C291" s="4" t="s">
        <v>1746</v>
      </c>
      <c r="D291" s="132" t="s">
        <v>512</v>
      </c>
      <c r="E291" s="269" t="s">
        <v>1748</v>
      </c>
      <c r="F291" s="269"/>
      <c r="G291" s="264"/>
      <c r="H291" s="240">
        <v>100</v>
      </c>
      <c r="I291" s="240"/>
      <c r="J291" s="270"/>
      <c r="K291" s="43">
        <f t="shared" si="15"/>
        <v>100</v>
      </c>
      <c r="L291" s="43">
        <f t="shared" si="16"/>
        <v>11230.099999999988</v>
      </c>
      <c r="M291" s="18" t="s">
        <v>412</v>
      </c>
      <c r="O291" s="15"/>
      <c r="P291" s="11"/>
      <c r="Q291" s="4"/>
      <c r="R291"/>
      <c r="S291"/>
      <c r="T291" s="4"/>
      <c r="U291"/>
      <c r="V291"/>
    </row>
    <row r="292" spans="1:24" x14ac:dyDescent="0.3">
      <c r="B292" s="131" t="s">
        <v>491</v>
      </c>
      <c r="C292" s="214" t="s">
        <v>1559</v>
      </c>
      <c r="D292" s="133" t="s">
        <v>11</v>
      </c>
      <c r="E292" s="269" t="s">
        <v>1751</v>
      </c>
      <c r="F292" s="240"/>
      <c r="G292" s="264"/>
      <c r="H292" s="240">
        <v>501.92</v>
      </c>
      <c r="I292" s="240"/>
      <c r="J292" s="270"/>
      <c r="K292" s="43">
        <f t="shared" si="15"/>
        <v>501.92</v>
      </c>
      <c r="L292" s="43">
        <f t="shared" si="16"/>
        <v>11732.019999999988</v>
      </c>
      <c r="M292" s="16" t="s">
        <v>90</v>
      </c>
      <c r="Q292" s="4"/>
      <c r="T292" s="4"/>
      <c r="U292"/>
      <c r="V292"/>
    </row>
    <row r="293" spans="1:24" x14ac:dyDescent="0.3">
      <c r="A293" s="12"/>
      <c r="B293" s="131" t="s">
        <v>491</v>
      </c>
      <c r="C293" s="4" t="s">
        <v>1630</v>
      </c>
      <c r="D293" s="133" t="s">
        <v>512</v>
      </c>
      <c r="E293" s="269" t="s">
        <v>1752</v>
      </c>
      <c r="F293" s="240"/>
      <c r="G293" s="264"/>
      <c r="H293" s="240">
        <v>80</v>
      </c>
      <c r="I293" s="240"/>
      <c r="J293" s="270"/>
      <c r="K293" s="43">
        <f t="shared" ref="K293:K306" si="18">H293+J293</f>
        <v>80</v>
      </c>
      <c r="L293" s="43">
        <f t="shared" ref="L293:L299" si="19">L292+K293</f>
        <v>11812.019999999988</v>
      </c>
      <c r="M293" s="16" t="s">
        <v>90</v>
      </c>
      <c r="O293" s="244"/>
      <c r="Q293" s="15"/>
      <c r="R293" s="11"/>
      <c r="X293"/>
    </row>
    <row r="294" spans="1:24" x14ac:dyDescent="0.3">
      <c r="A294" s="26"/>
      <c r="B294" s="131" t="s">
        <v>491</v>
      </c>
      <c r="C294" s="1" t="s">
        <v>216</v>
      </c>
      <c r="D294" s="132" t="s">
        <v>513</v>
      </c>
      <c r="E294" s="168" t="s">
        <v>1757</v>
      </c>
      <c r="F294" s="27"/>
      <c r="G294" s="33"/>
      <c r="H294" s="51">
        <v>128.63</v>
      </c>
      <c r="I294" s="42"/>
      <c r="J294" s="42"/>
      <c r="K294" s="43">
        <f t="shared" si="18"/>
        <v>128.63</v>
      </c>
      <c r="L294" s="43">
        <f t="shared" si="19"/>
        <v>11940.649999999987</v>
      </c>
      <c r="M294" s="18" t="s">
        <v>90</v>
      </c>
      <c r="N294" s="18"/>
      <c r="Q294" s="15"/>
      <c r="R294" s="11"/>
      <c r="U294"/>
      <c r="V294"/>
      <c r="W294"/>
    </row>
    <row r="295" spans="1:24" x14ac:dyDescent="0.3">
      <c r="A295" s="12"/>
      <c r="B295" s="131" t="s">
        <v>491</v>
      </c>
      <c r="C295" s="4" t="s">
        <v>782</v>
      </c>
      <c r="D295" s="133" t="s">
        <v>518</v>
      </c>
      <c r="E295" s="269" t="s">
        <v>1754</v>
      </c>
      <c r="F295" s="240"/>
      <c r="G295" s="264"/>
      <c r="H295" s="240"/>
      <c r="I295" s="240"/>
      <c r="J295" s="268">
        <v>-180</v>
      </c>
      <c r="K295" s="43">
        <f t="shared" si="18"/>
        <v>-180</v>
      </c>
      <c r="L295" s="43">
        <f t="shared" si="19"/>
        <v>11760.649999999987</v>
      </c>
      <c r="M295" s="16" t="s">
        <v>90</v>
      </c>
      <c r="N295" s="18"/>
      <c r="Q295" s="4"/>
      <c r="R295" s="11"/>
      <c r="T295" s="4"/>
      <c r="U295"/>
      <c r="V295"/>
    </row>
    <row r="296" spans="1:24" x14ac:dyDescent="0.3">
      <c r="B296" s="131" t="s">
        <v>491</v>
      </c>
      <c r="C296" s="4" t="s">
        <v>604</v>
      </c>
      <c r="D296" s="133" t="s">
        <v>512</v>
      </c>
      <c r="E296" s="120" t="s">
        <v>1756</v>
      </c>
      <c r="F296" s="27"/>
      <c r="G296" s="33"/>
      <c r="H296" s="42">
        <v>30</v>
      </c>
      <c r="I296" s="42"/>
      <c r="J296" s="42"/>
      <c r="K296" s="43">
        <f t="shared" si="18"/>
        <v>30</v>
      </c>
      <c r="L296" s="43">
        <f t="shared" si="19"/>
        <v>11790.649999999987</v>
      </c>
      <c r="M296" s="18" t="s">
        <v>90</v>
      </c>
      <c r="Q296" s="15"/>
      <c r="R296" s="11"/>
      <c r="U296"/>
      <c r="V296" s="11">
        <f>SUM(T286:T295)</f>
        <v>-1288.5</v>
      </c>
      <c r="X296" s="125" t="s">
        <v>1169</v>
      </c>
    </row>
    <row r="297" spans="1:24" x14ac:dyDescent="0.3">
      <c r="B297" s="131" t="s">
        <v>491</v>
      </c>
      <c r="C297" s="4" t="s">
        <v>1574</v>
      </c>
      <c r="D297" s="112" t="s">
        <v>504</v>
      </c>
      <c r="E297" s="121" t="s">
        <v>980</v>
      </c>
      <c r="F297" s="27"/>
      <c r="G297" s="33"/>
      <c r="H297" s="42"/>
      <c r="I297" s="42"/>
      <c r="J297" s="49">
        <v>-83</v>
      </c>
      <c r="K297" s="43">
        <f t="shared" si="18"/>
        <v>-83</v>
      </c>
      <c r="L297" s="43">
        <f t="shared" si="19"/>
        <v>11707.649999999987</v>
      </c>
      <c r="M297" s="16" t="s">
        <v>90</v>
      </c>
      <c r="Q297"/>
      <c r="R297" s="11"/>
      <c r="T297" s="4"/>
    </row>
    <row r="298" spans="1:24" ht="15.5" x14ac:dyDescent="0.35">
      <c r="A298" s="12"/>
      <c r="B298" s="131" t="s">
        <v>491</v>
      </c>
      <c r="C298" s="4" t="s">
        <v>1630</v>
      </c>
      <c r="D298" s="112" t="s">
        <v>504</v>
      </c>
      <c r="E298" s="121" t="s">
        <v>1057</v>
      </c>
      <c r="F298" s="27"/>
      <c r="G298" s="33"/>
      <c r="H298" s="42"/>
      <c r="I298" s="42"/>
      <c r="J298" s="49">
        <v>-50</v>
      </c>
      <c r="K298" s="43">
        <f t="shared" si="18"/>
        <v>-50</v>
      </c>
      <c r="L298" s="281">
        <f t="shared" si="19"/>
        <v>11657.649999999987</v>
      </c>
      <c r="M298" s="16" t="s">
        <v>90</v>
      </c>
      <c r="N298" t="s">
        <v>1758</v>
      </c>
      <c r="Q298"/>
      <c r="R298" s="11"/>
      <c r="T298" s="4"/>
      <c r="V298" s="332">
        <f>V284+V296</f>
        <v>11657.65</v>
      </c>
      <c r="X298" t="s">
        <v>588</v>
      </c>
    </row>
    <row r="299" spans="1:24" x14ac:dyDescent="0.3">
      <c r="A299" s="28" t="s">
        <v>83</v>
      </c>
      <c r="B299" s="105"/>
      <c r="C299" s="4"/>
      <c r="D299" s="133"/>
      <c r="E299" s="269"/>
      <c r="F299" s="240"/>
      <c r="G299" s="264"/>
      <c r="H299" s="240"/>
      <c r="I299" s="240"/>
      <c r="J299" s="270"/>
      <c r="K299" s="43">
        <f t="shared" si="18"/>
        <v>0</v>
      </c>
      <c r="L299" s="43">
        <f t="shared" si="19"/>
        <v>11657.649999999987</v>
      </c>
      <c r="S299" s="57"/>
    </row>
    <row r="300" spans="1:24" x14ac:dyDescent="0.3">
      <c r="A300" s="12"/>
      <c r="B300" s="105" t="s">
        <v>492</v>
      </c>
      <c r="C300" s="4" t="s">
        <v>58</v>
      </c>
      <c r="D300" s="132" t="s">
        <v>9</v>
      </c>
      <c r="E300" s="1" t="s">
        <v>897</v>
      </c>
      <c r="J300" s="42">
        <v>-115.32</v>
      </c>
      <c r="K300" s="43">
        <f t="shared" si="18"/>
        <v>-115.32</v>
      </c>
      <c r="L300" s="43">
        <f t="shared" ref="L300:L312" si="20">L299+K300</f>
        <v>11542.329999999987</v>
      </c>
      <c r="M300" s="18" t="s">
        <v>90</v>
      </c>
      <c r="S300" s="57"/>
    </row>
    <row r="301" spans="1:24" x14ac:dyDescent="0.3">
      <c r="A301" s="15"/>
      <c r="B301" s="105" t="s">
        <v>492</v>
      </c>
      <c r="C301" s="4" t="s">
        <v>58</v>
      </c>
      <c r="D301" s="133" t="s">
        <v>8</v>
      </c>
      <c r="E301" s="1" t="s">
        <v>897</v>
      </c>
      <c r="F301" s="27"/>
      <c r="G301" s="33"/>
      <c r="H301" s="42"/>
      <c r="I301" s="171"/>
      <c r="J301" s="42">
        <v>-268.33999999999997</v>
      </c>
      <c r="K301" s="43">
        <f t="shared" si="18"/>
        <v>-268.33999999999997</v>
      </c>
      <c r="L301" s="43">
        <f t="shared" si="20"/>
        <v>11273.989999999987</v>
      </c>
      <c r="M301" s="18" t="s">
        <v>90</v>
      </c>
      <c r="S301" s="57"/>
    </row>
    <row r="302" spans="1:24" x14ac:dyDescent="0.3">
      <c r="A302" s="12"/>
      <c r="B302" s="105" t="s">
        <v>492</v>
      </c>
      <c r="C302" s="4" t="s">
        <v>299</v>
      </c>
      <c r="D302" s="133" t="s">
        <v>301</v>
      </c>
      <c r="E302" s="213"/>
      <c r="F302" s="213"/>
      <c r="G302" s="214"/>
      <c r="H302" s="215"/>
      <c r="I302" s="215"/>
      <c r="J302" s="232">
        <v>-44.94</v>
      </c>
      <c r="K302" s="43">
        <f t="shared" si="18"/>
        <v>-44.94</v>
      </c>
      <c r="L302" s="43">
        <f t="shared" si="20"/>
        <v>11229.049999999987</v>
      </c>
      <c r="M302" s="18" t="s">
        <v>90</v>
      </c>
      <c r="S302" s="57"/>
    </row>
    <row r="303" spans="1:24" x14ac:dyDescent="0.3">
      <c r="A303" s="12"/>
      <c r="B303" s="105" t="s">
        <v>492</v>
      </c>
      <c r="C303" s="4" t="s">
        <v>607</v>
      </c>
      <c r="D303" s="133" t="s">
        <v>11</v>
      </c>
      <c r="E303" s="213" t="s">
        <v>1664</v>
      </c>
      <c r="F303" s="213"/>
      <c r="G303" s="214"/>
      <c r="H303" s="215"/>
      <c r="I303" s="215"/>
      <c r="J303" s="232">
        <v>0</v>
      </c>
      <c r="K303" s="43">
        <f t="shared" si="18"/>
        <v>0</v>
      </c>
      <c r="L303" s="43">
        <f t="shared" si="20"/>
        <v>11229.049999999987</v>
      </c>
      <c r="M303" s="18" t="s">
        <v>90</v>
      </c>
      <c r="S303" s="57"/>
    </row>
    <row r="304" spans="1:24" x14ac:dyDescent="0.3">
      <c r="A304" s="12"/>
      <c r="B304" s="105" t="s">
        <v>492</v>
      </c>
      <c r="C304" s="214" t="s">
        <v>1109</v>
      </c>
      <c r="D304" s="133" t="s">
        <v>12</v>
      </c>
      <c r="E304" s="213"/>
      <c r="F304" s="215"/>
      <c r="G304" s="214"/>
      <c r="H304" s="215"/>
      <c r="I304" s="215"/>
      <c r="J304" s="232">
        <v>-57.13</v>
      </c>
      <c r="K304" s="43">
        <f t="shared" si="18"/>
        <v>-57.13</v>
      </c>
      <c r="L304" s="43">
        <f t="shared" si="20"/>
        <v>11171.919999999987</v>
      </c>
      <c r="M304" s="18" t="s">
        <v>90</v>
      </c>
      <c r="S304" s="57"/>
    </row>
    <row r="305" spans="1:24" x14ac:dyDescent="0.3">
      <c r="A305" s="12"/>
      <c r="B305" s="105" t="s">
        <v>492</v>
      </c>
      <c r="C305" s="4" t="s">
        <v>48</v>
      </c>
      <c r="D305" s="133" t="s">
        <v>12</v>
      </c>
      <c r="E305" s="213"/>
      <c r="F305" s="215"/>
      <c r="G305" s="214"/>
      <c r="H305" s="215"/>
      <c r="I305" s="215"/>
      <c r="J305" s="232">
        <v>-72.42</v>
      </c>
      <c r="K305" s="43">
        <f t="shared" si="18"/>
        <v>-72.42</v>
      </c>
      <c r="L305" s="43">
        <f t="shared" si="20"/>
        <v>11099.499999999987</v>
      </c>
      <c r="M305" s="18" t="s">
        <v>90</v>
      </c>
      <c r="S305" s="57"/>
    </row>
    <row r="306" spans="1:24" x14ac:dyDescent="0.3">
      <c r="A306" s="12"/>
      <c r="B306" s="105" t="s">
        <v>492</v>
      </c>
      <c r="C306" s="4" t="s">
        <v>1544</v>
      </c>
      <c r="D306" s="133" t="s">
        <v>12</v>
      </c>
      <c r="E306" s="1" t="s">
        <v>897</v>
      </c>
      <c r="J306" s="43">
        <v>-270</v>
      </c>
      <c r="K306" s="43">
        <f t="shared" si="18"/>
        <v>-270</v>
      </c>
      <c r="L306" s="43">
        <f t="shared" si="20"/>
        <v>10829.499999999987</v>
      </c>
      <c r="S306" s="57"/>
    </row>
    <row r="307" spans="1:24" x14ac:dyDescent="0.3">
      <c r="A307" s="12"/>
      <c r="B307" s="105" t="s">
        <v>492</v>
      </c>
      <c r="D307" s="15"/>
      <c r="E307" s="15"/>
      <c r="G307" s="15"/>
      <c r="H307" s="15"/>
      <c r="I307" s="15"/>
      <c r="J307" s="270"/>
      <c r="K307" s="43">
        <f t="shared" ref="K307:K333" si="21">H307+J307</f>
        <v>0</v>
      </c>
      <c r="L307" s="43">
        <f t="shared" si="20"/>
        <v>10829.499999999987</v>
      </c>
      <c r="S307" s="57"/>
    </row>
    <row r="308" spans="1:24" x14ac:dyDescent="0.3">
      <c r="A308" s="12"/>
      <c r="B308" s="105" t="s">
        <v>492</v>
      </c>
      <c r="D308" s="15"/>
      <c r="E308" s="15"/>
      <c r="G308" s="15"/>
      <c r="H308" s="15"/>
      <c r="I308" s="15"/>
      <c r="J308" s="270"/>
      <c r="K308" s="43">
        <f t="shared" si="21"/>
        <v>0</v>
      </c>
      <c r="L308" s="43">
        <f t="shared" si="20"/>
        <v>10829.499999999987</v>
      </c>
      <c r="S308" s="57"/>
    </row>
    <row r="309" spans="1:24" x14ac:dyDescent="0.3">
      <c r="A309" s="12"/>
      <c r="B309" s="105" t="s">
        <v>492</v>
      </c>
      <c r="C309" s="4" t="s">
        <v>1759</v>
      </c>
      <c r="D309" s="132" t="s">
        <v>512</v>
      </c>
      <c r="E309" s="269" t="s">
        <v>1760</v>
      </c>
      <c r="F309" s="269"/>
      <c r="G309" s="264"/>
      <c r="H309" s="240">
        <v>50</v>
      </c>
      <c r="I309" s="240"/>
      <c r="J309" s="270"/>
      <c r="K309" s="43">
        <f t="shared" si="21"/>
        <v>50</v>
      </c>
      <c r="L309" s="43">
        <f t="shared" si="20"/>
        <v>10879.499999999987</v>
      </c>
      <c r="M309" s="18" t="s">
        <v>412</v>
      </c>
      <c r="N309" t="s">
        <v>1768</v>
      </c>
      <c r="S309" s="57"/>
    </row>
    <row r="310" spans="1:24" x14ac:dyDescent="0.3">
      <c r="A310" s="12"/>
      <c r="B310" s="105" t="s">
        <v>492</v>
      </c>
      <c r="C310" s="4" t="s">
        <v>1759</v>
      </c>
      <c r="D310" s="112" t="s">
        <v>500</v>
      </c>
      <c r="E310" s="121" t="s">
        <v>1761</v>
      </c>
      <c r="F310" s="269"/>
      <c r="G310" s="341"/>
      <c r="H310" s="239">
        <v>50</v>
      </c>
      <c r="I310" s="240"/>
      <c r="J310" s="270"/>
      <c r="K310" s="43">
        <f t="shared" si="21"/>
        <v>50</v>
      </c>
      <c r="L310" s="43">
        <f t="shared" si="20"/>
        <v>10929.499999999987</v>
      </c>
      <c r="M310" s="18" t="s">
        <v>412</v>
      </c>
      <c r="S310" s="57"/>
    </row>
    <row r="311" spans="1:24" x14ac:dyDescent="0.3">
      <c r="A311" s="12"/>
      <c r="B311" s="105" t="s">
        <v>492</v>
      </c>
      <c r="C311" s="4" t="s">
        <v>1590</v>
      </c>
      <c r="D311" s="112" t="s">
        <v>504</v>
      </c>
      <c r="E311" s="121" t="s">
        <v>1007</v>
      </c>
      <c r="F311" s="27"/>
      <c r="G311" s="33"/>
      <c r="H311" s="42"/>
      <c r="I311" s="42"/>
      <c r="J311" s="49">
        <v>-50</v>
      </c>
      <c r="K311" s="43">
        <f t="shared" si="21"/>
        <v>-50</v>
      </c>
      <c r="L311" s="43">
        <f t="shared" si="20"/>
        <v>10879.499999999987</v>
      </c>
      <c r="M311" s="18" t="s">
        <v>90</v>
      </c>
      <c r="N311"/>
      <c r="S311" s="57"/>
    </row>
    <row r="312" spans="1:24" x14ac:dyDescent="0.3">
      <c r="A312" s="29"/>
      <c r="B312" s="105" t="s">
        <v>492</v>
      </c>
      <c r="C312" s="4" t="s">
        <v>1763</v>
      </c>
      <c r="D312" s="132" t="s">
        <v>513</v>
      </c>
      <c r="E312" s="269" t="s">
        <v>1764</v>
      </c>
      <c r="F312" s="240"/>
      <c r="G312" s="264"/>
      <c r="H312" s="246">
        <v>40</v>
      </c>
      <c r="I312" s="240"/>
      <c r="J312" s="271"/>
      <c r="K312" s="43">
        <f t="shared" si="21"/>
        <v>40</v>
      </c>
      <c r="L312" s="43">
        <f t="shared" si="20"/>
        <v>10919.499999999987</v>
      </c>
      <c r="M312" s="18" t="s">
        <v>90</v>
      </c>
      <c r="N312" t="s">
        <v>1766</v>
      </c>
      <c r="Q312" s="30" t="s">
        <v>1762</v>
      </c>
      <c r="R312" s="30"/>
      <c r="S312" s="30"/>
      <c r="T312"/>
      <c r="U312"/>
      <c r="V312"/>
      <c r="X312"/>
    </row>
    <row r="313" spans="1:24" x14ac:dyDescent="0.3">
      <c r="A313" s="29"/>
      <c r="B313" s="105" t="s">
        <v>492</v>
      </c>
      <c r="C313" s="4" t="s">
        <v>1765</v>
      </c>
      <c r="D313" s="132" t="s">
        <v>512</v>
      </c>
      <c r="E313" s="269" t="s">
        <v>937</v>
      </c>
      <c r="F313" s="240"/>
      <c r="G313" s="264"/>
      <c r="H313" s="240">
        <v>60</v>
      </c>
      <c r="I313" s="240"/>
      <c r="J313" s="271"/>
      <c r="K313" s="43">
        <f t="shared" si="21"/>
        <v>60</v>
      </c>
      <c r="L313" s="43">
        <f t="shared" ref="L313:L336" si="22">L312+K313</f>
        <v>10979.499999999987</v>
      </c>
      <c r="M313" s="18" t="s">
        <v>90</v>
      </c>
      <c r="Q313"/>
      <c r="R313"/>
      <c r="S313"/>
      <c r="T313"/>
      <c r="U313"/>
      <c r="V313"/>
      <c r="X313"/>
    </row>
    <row r="314" spans="1:24" x14ac:dyDescent="0.3">
      <c r="A314" s="29"/>
      <c r="B314" s="105" t="s">
        <v>492</v>
      </c>
      <c r="C314" s="4" t="s">
        <v>465</v>
      </c>
      <c r="D314" s="133" t="s">
        <v>12</v>
      </c>
      <c r="E314" s="269" t="s">
        <v>1767</v>
      </c>
      <c r="F314" s="240"/>
      <c r="G314" s="264"/>
      <c r="H314" s="240"/>
      <c r="I314" s="240"/>
      <c r="J314" s="271">
        <v>-36.94</v>
      </c>
      <c r="K314" s="43">
        <f t="shared" si="21"/>
        <v>-36.94</v>
      </c>
      <c r="L314" s="43">
        <f t="shared" si="22"/>
        <v>10942.559999999987</v>
      </c>
      <c r="M314" s="18" t="s">
        <v>90</v>
      </c>
      <c r="Q314" t="s">
        <v>584</v>
      </c>
      <c r="R314"/>
      <c r="S314"/>
      <c r="T314"/>
      <c r="U314"/>
      <c r="V314">
        <f>6830.56</f>
        <v>6830.56</v>
      </c>
      <c r="X314"/>
    </row>
    <row r="315" spans="1:24" x14ac:dyDescent="0.3">
      <c r="A315" s="29"/>
      <c r="B315" s="105" t="s">
        <v>492</v>
      </c>
      <c r="C315" s="4" t="s">
        <v>240</v>
      </c>
      <c r="D315" s="132" t="s">
        <v>512</v>
      </c>
      <c r="E315" s="269" t="s">
        <v>1769</v>
      </c>
      <c r="F315" s="240"/>
      <c r="G315" s="264"/>
      <c r="H315" s="240">
        <v>80</v>
      </c>
      <c r="I315" s="240"/>
      <c r="J315" s="271"/>
      <c r="K315" s="43">
        <f t="shared" si="21"/>
        <v>80</v>
      </c>
      <c r="L315" s="43">
        <f t="shared" si="22"/>
        <v>11022.559999999987</v>
      </c>
      <c r="M315" s="18" t="s">
        <v>90</v>
      </c>
      <c r="N315" t="s">
        <v>1783</v>
      </c>
      <c r="Q315" t="s">
        <v>586</v>
      </c>
      <c r="R315"/>
      <c r="S315"/>
      <c r="T315"/>
      <c r="U315"/>
      <c r="V315"/>
      <c r="X315"/>
    </row>
    <row r="316" spans="1:24" x14ac:dyDescent="0.3">
      <c r="A316" s="29"/>
      <c r="B316" s="105" t="s">
        <v>492</v>
      </c>
      <c r="C316" s="4" t="s">
        <v>1770</v>
      </c>
      <c r="D316" s="133" t="s">
        <v>518</v>
      </c>
      <c r="E316" s="269" t="s">
        <v>1771</v>
      </c>
      <c r="F316" s="240"/>
      <c r="G316" s="264"/>
      <c r="H316" s="240"/>
      <c r="I316" s="240"/>
      <c r="J316" s="271">
        <v>-78</v>
      </c>
      <c r="K316" s="43">
        <f t="shared" si="21"/>
        <v>-78</v>
      </c>
      <c r="L316" s="43">
        <f t="shared" si="22"/>
        <v>10944.559999999987</v>
      </c>
      <c r="M316" s="18" t="s">
        <v>90</v>
      </c>
      <c r="Q316" t="s">
        <v>1531</v>
      </c>
      <c r="R316"/>
      <c r="S316"/>
      <c r="T316" s="4">
        <v>-1096</v>
      </c>
      <c r="U316"/>
      <c r="V316"/>
      <c r="X316"/>
    </row>
    <row r="317" spans="1:24" x14ac:dyDescent="0.3">
      <c r="A317" s="29"/>
      <c r="B317" s="105" t="s">
        <v>492</v>
      </c>
      <c r="C317" s="4" t="s">
        <v>1717</v>
      </c>
      <c r="D317" s="132" t="s">
        <v>512</v>
      </c>
      <c r="E317" s="269" t="s">
        <v>1099</v>
      </c>
      <c r="F317" s="240"/>
      <c r="G317" s="264"/>
      <c r="H317" s="240"/>
      <c r="I317" s="240"/>
      <c r="J317" s="271">
        <v>-200</v>
      </c>
      <c r="K317" s="43">
        <f t="shared" si="21"/>
        <v>-200</v>
      </c>
      <c r="L317" s="43">
        <f t="shared" si="22"/>
        <v>10744.559999999987</v>
      </c>
      <c r="M317" s="18" t="s">
        <v>412</v>
      </c>
      <c r="Q317" s="4" t="s">
        <v>407</v>
      </c>
      <c r="R317"/>
      <c r="S317"/>
      <c r="T317" s="4">
        <v>81</v>
      </c>
      <c r="U317"/>
      <c r="V317"/>
      <c r="X317"/>
    </row>
    <row r="318" spans="1:24" x14ac:dyDescent="0.3">
      <c r="A318" s="29"/>
      <c r="B318" s="105" t="s">
        <v>492</v>
      </c>
      <c r="C318" s="4" t="s">
        <v>1717</v>
      </c>
      <c r="D318" s="112" t="s">
        <v>504</v>
      </c>
      <c r="E318" s="121" t="s">
        <v>1151</v>
      </c>
      <c r="F318" s="27"/>
      <c r="G318" s="33"/>
      <c r="H318" s="42"/>
      <c r="I318" s="42"/>
      <c r="J318" s="49">
        <v>-150</v>
      </c>
      <c r="K318" s="43">
        <f t="shared" si="21"/>
        <v>-150</v>
      </c>
      <c r="L318" s="43">
        <f t="shared" si="22"/>
        <v>10594.559999999987</v>
      </c>
      <c r="M318" s="18" t="s">
        <v>412</v>
      </c>
      <c r="Q318" s="4" t="s">
        <v>1811</v>
      </c>
      <c r="T318" s="15">
        <v>-40</v>
      </c>
      <c r="U318"/>
      <c r="V318"/>
      <c r="X318"/>
    </row>
    <row r="319" spans="1:24" x14ac:dyDescent="0.3">
      <c r="A319" s="29"/>
      <c r="B319" s="105" t="s">
        <v>492</v>
      </c>
      <c r="C319" s="4" t="s">
        <v>1772</v>
      </c>
      <c r="D319" s="116" t="s">
        <v>1332</v>
      </c>
      <c r="E319" s="269"/>
      <c r="F319" s="240"/>
      <c r="G319" s="264"/>
      <c r="H319" s="240"/>
      <c r="I319" s="240"/>
      <c r="J319" s="271">
        <v>-5000</v>
      </c>
      <c r="K319" s="43">
        <f t="shared" si="21"/>
        <v>-5000</v>
      </c>
      <c r="L319" s="43">
        <f t="shared" si="22"/>
        <v>5594.5599999999868</v>
      </c>
      <c r="M319" s="18" t="s">
        <v>90</v>
      </c>
      <c r="Q319" s="4" t="s">
        <v>1790</v>
      </c>
      <c r="T319" s="4">
        <v>-50</v>
      </c>
      <c r="U319"/>
      <c r="V319"/>
      <c r="X319"/>
    </row>
    <row r="320" spans="1:24" x14ac:dyDescent="0.3">
      <c r="A320" s="29"/>
      <c r="B320" s="105" t="s">
        <v>492</v>
      </c>
      <c r="C320" s="4" t="s">
        <v>1776</v>
      </c>
      <c r="D320" s="132" t="s">
        <v>512</v>
      </c>
      <c r="E320" s="269" t="s">
        <v>1774</v>
      </c>
      <c r="F320" s="240"/>
      <c r="G320" s="264"/>
      <c r="H320" s="240">
        <v>60</v>
      </c>
      <c r="I320" s="240"/>
      <c r="J320" s="271"/>
      <c r="K320" s="43">
        <f t="shared" si="21"/>
        <v>60</v>
      </c>
      <c r="L320" s="43">
        <f t="shared" si="22"/>
        <v>5654.5599999999868</v>
      </c>
      <c r="M320" s="18" t="s">
        <v>412</v>
      </c>
      <c r="Q320" s="4"/>
      <c r="R320"/>
      <c r="S320"/>
      <c r="T320" s="125"/>
      <c r="U320"/>
      <c r="V320" s="18"/>
      <c r="X320"/>
    </row>
    <row r="321" spans="1:24" x14ac:dyDescent="0.3">
      <c r="A321" s="29"/>
      <c r="B321" s="105" t="s">
        <v>492</v>
      </c>
      <c r="C321" s="4" t="s">
        <v>1776</v>
      </c>
      <c r="D321" s="112" t="s">
        <v>500</v>
      </c>
      <c r="E321" s="121" t="s">
        <v>1773</v>
      </c>
      <c r="F321" s="269"/>
      <c r="G321" s="341"/>
      <c r="H321" s="239">
        <v>50</v>
      </c>
      <c r="I321" s="240"/>
      <c r="J321" s="271"/>
      <c r="K321" s="43">
        <f t="shared" si="21"/>
        <v>50</v>
      </c>
      <c r="L321" s="43">
        <f t="shared" si="22"/>
        <v>5704.5599999999868</v>
      </c>
      <c r="M321" s="18" t="s">
        <v>412</v>
      </c>
      <c r="U321"/>
      <c r="V321"/>
    </row>
    <row r="322" spans="1:24" x14ac:dyDescent="0.3">
      <c r="A322" s="29"/>
      <c r="B322" s="105" t="s">
        <v>492</v>
      </c>
      <c r="C322" s="4"/>
      <c r="D322" s="132"/>
      <c r="E322" s="330"/>
      <c r="F322" s="240"/>
      <c r="G322" s="264"/>
      <c r="H322" s="240"/>
      <c r="I322" s="240"/>
      <c r="J322" s="271"/>
      <c r="K322" s="43">
        <f t="shared" si="21"/>
        <v>0</v>
      </c>
      <c r="L322" s="43">
        <f t="shared" si="22"/>
        <v>5704.5599999999868</v>
      </c>
      <c r="N322" t="s">
        <v>1778</v>
      </c>
      <c r="U322"/>
      <c r="V322" s="11">
        <f>SUM(T316:T325)</f>
        <v>-1105</v>
      </c>
      <c r="X322" s="125" t="s">
        <v>1169</v>
      </c>
    </row>
    <row r="323" spans="1:24" x14ac:dyDescent="0.3">
      <c r="A323" s="29"/>
      <c r="B323" s="105" t="s">
        <v>492</v>
      </c>
      <c r="C323" s="4" t="s">
        <v>1627</v>
      </c>
      <c r="D323" s="112" t="s">
        <v>504</v>
      </c>
      <c r="E323" s="121" t="s">
        <v>1058</v>
      </c>
      <c r="F323" s="27"/>
      <c r="G323" s="33"/>
      <c r="H323" s="42"/>
      <c r="I323" s="42"/>
      <c r="J323" s="49">
        <v>-50</v>
      </c>
      <c r="K323" s="43">
        <f t="shared" si="21"/>
        <v>-50</v>
      </c>
      <c r="L323" s="43">
        <f t="shared" si="22"/>
        <v>5654.5599999999868</v>
      </c>
      <c r="M323" s="18" t="s">
        <v>90</v>
      </c>
      <c r="Q323" s="4"/>
      <c r="R323" s="11"/>
      <c r="T323" s="4"/>
    </row>
    <row r="324" spans="1:24" ht="15.5" x14ac:dyDescent="0.35">
      <c r="A324" s="29"/>
      <c r="B324" s="105" t="s">
        <v>492</v>
      </c>
      <c r="C324" s="4" t="s">
        <v>1265</v>
      </c>
      <c r="D324" s="132" t="s">
        <v>512</v>
      </c>
      <c r="E324" s="269"/>
      <c r="F324" s="240"/>
      <c r="G324" s="264"/>
      <c r="H324" s="240">
        <v>120</v>
      </c>
      <c r="I324" s="240"/>
      <c r="J324" s="271"/>
      <c r="K324" s="43">
        <f t="shared" si="21"/>
        <v>120</v>
      </c>
      <c r="L324" s="43">
        <f t="shared" si="22"/>
        <v>5774.5599999999868</v>
      </c>
      <c r="M324" s="18" t="s">
        <v>412</v>
      </c>
      <c r="Q324" s="4"/>
      <c r="R324" s="11"/>
      <c r="T324" s="4"/>
      <c r="U324"/>
      <c r="V324" s="332">
        <f>V314+V322</f>
        <v>5725.56</v>
      </c>
      <c r="X324" t="s">
        <v>588</v>
      </c>
    </row>
    <row r="325" spans="1:24" x14ac:dyDescent="0.3">
      <c r="B325" s="105" t="s">
        <v>492</v>
      </c>
      <c r="C325" s="4" t="s">
        <v>1265</v>
      </c>
      <c r="D325" s="112" t="s">
        <v>500</v>
      </c>
      <c r="E325" s="121" t="s">
        <v>1784</v>
      </c>
      <c r="F325" s="269"/>
      <c r="G325" s="341"/>
      <c r="H325" s="239">
        <v>50</v>
      </c>
      <c r="I325" s="240"/>
      <c r="J325" s="272"/>
      <c r="K325" s="43">
        <f t="shared" si="21"/>
        <v>50</v>
      </c>
      <c r="L325" s="43">
        <f t="shared" si="22"/>
        <v>5824.5599999999868</v>
      </c>
      <c r="M325" s="18" t="s">
        <v>412</v>
      </c>
      <c r="Q325" s="4"/>
      <c r="R325" s="11"/>
      <c r="T325" s="4"/>
      <c r="U325"/>
      <c r="V325"/>
    </row>
    <row r="326" spans="1:24" x14ac:dyDescent="0.3">
      <c r="A326" s="12"/>
      <c r="B326" s="105" t="s">
        <v>492</v>
      </c>
      <c r="C326" s="4" t="s">
        <v>1623</v>
      </c>
      <c r="D326" s="132" t="s">
        <v>512</v>
      </c>
      <c r="E326" s="1" t="s">
        <v>1803</v>
      </c>
      <c r="H326" s="43">
        <v>60</v>
      </c>
      <c r="K326" s="43">
        <f t="shared" si="21"/>
        <v>60</v>
      </c>
      <c r="L326" s="43">
        <f t="shared" si="22"/>
        <v>5884.5599999999868</v>
      </c>
      <c r="M326" s="18" t="s">
        <v>90</v>
      </c>
      <c r="P326" s="13"/>
      <c r="Q326" s="15"/>
      <c r="R326" s="11"/>
      <c r="U326"/>
    </row>
    <row r="327" spans="1:24" ht="12.5" x14ac:dyDescent="0.25">
      <c r="A327" s="12"/>
      <c r="B327" s="105" t="s">
        <v>492</v>
      </c>
      <c r="C327" s="4" t="s">
        <v>1804</v>
      </c>
      <c r="D327" s="133" t="s">
        <v>518</v>
      </c>
      <c r="E327" s="120" t="s">
        <v>1805</v>
      </c>
      <c r="F327" s="27"/>
      <c r="G327" s="33"/>
      <c r="H327" s="42"/>
      <c r="I327" s="42"/>
      <c r="J327" s="42">
        <v>-16</v>
      </c>
      <c r="K327" s="43">
        <f t="shared" si="21"/>
        <v>-16</v>
      </c>
      <c r="L327" s="43">
        <f t="shared" si="22"/>
        <v>5868.5599999999868</v>
      </c>
      <c r="M327" s="4" t="s">
        <v>90</v>
      </c>
      <c r="N327" s="62"/>
      <c r="O327" s="11"/>
      <c r="Q327"/>
      <c r="R327" s="11"/>
      <c r="T327" s="4"/>
    </row>
    <row r="328" spans="1:24" x14ac:dyDescent="0.3">
      <c r="A328" s="12"/>
      <c r="B328" s="105" t="s">
        <v>492</v>
      </c>
      <c r="C328" s="4" t="s">
        <v>1806</v>
      </c>
      <c r="D328" s="112" t="s">
        <v>504</v>
      </c>
      <c r="E328" s="121" t="s">
        <v>905</v>
      </c>
      <c r="F328" s="27"/>
      <c r="G328" s="33"/>
      <c r="H328" s="42"/>
      <c r="I328" s="42"/>
      <c r="J328" s="49">
        <v>-50</v>
      </c>
      <c r="K328" s="43">
        <f t="shared" si="21"/>
        <v>-50</v>
      </c>
      <c r="L328" s="43">
        <f t="shared" si="22"/>
        <v>5818.5599999999868</v>
      </c>
      <c r="M328" s="18" t="s">
        <v>90</v>
      </c>
      <c r="Q328"/>
      <c r="R328" s="11"/>
      <c r="T328" s="4"/>
    </row>
    <row r="329" spans="1:24" x14ac:dyDescent="0.3">
      <c r="A329" s="12"/>
      <c r="B329" s="105" t="s">
        <v>492</v>
      </c>
      <c r="C329" s="4" t="s">
        <v>1735</v>
      </c>
      <c r="D329" s="116" t="s">
        <v>621</v>
      </c>
      <c r="E329" s="1" t="s">
        <v>1807</v>
      </c>
      <c r="F329" s="27"/>
      <c r="G329" s="33"/>
      <c r="H329" s="42"/>
      <c r="I329" s="42"/>
      <c r="J329" s="42">
        <v>-34</v>
      </c>
      <c r="K329" s="43">
        <f t="shared" si="21"/>
        <v>-34</v>
      </c>
      <c r="L329" s="43">
        <f t="shared" si="22"/>
        <v>5784.5599999999868</v>
      </c>
      <c r="M329" s="18" t="s">
        <v>90</v>
      </c>
      <c r="S329" s="57"/>
    </row>
    <row r="330" spans="1:24" x14ac:dyDescent="0.3">
      <c r="A330" s="12"/>
      <c r="B330" s="105" t="s">
        <v>492</v>
      </c>
      <c r="C330" s="4" t="s">
        <v>407</v>
      </c>
      <c r="D330" s="132" t="s">
        <v>513</v>
      </c>
      <c r="E330" s="120"/>
      <c r="F330" s="27"/>
      <c r="G330" s="120"/>
      <c r="H330" s="51">
        <v>81</v>
      </c>
      <c r="I330" s="42"/>
      <c r="J330" s="42"/>
      <c r="K330" s="43">
        <f t="shared" si="21"/>
        <v>81</v>
      </c>
      <c r="L330" s="43">
        <f t="shared" si="22"/>
        <v>5865.5599999999868</v>
      </c>
      <c r="S330" s="57"/>
    </row>
    <row r="331" spans="1:24" x14ac:dyDescent="0.3">
      <c r="A331" s="26"/>
      <c r="B331" s="105" t="s">
        <v>492</v>
      </c>
      <c r="C331" s="4" t="s">
        <v>1763</v>
      </c>
      <c r="D331" s="132" t="s">
        <v>513</v>
      </c>
      <c r="E331" s="269" t="s">
        <v>1764</v>
      </c>
      <c r="F331" s="27"/>
      <c r="G331" s="120"/>
      <c r="H331" s="51">
        <v>-40</v>
      </c>
      <c r="I331" s="42"/>
      <c r="J331" s="42"/>
      <c r="K331" s="43">
        <f t="shared" si="21"/>
        <v>-40</v>
      </c>
      <c r="L331" s="43">
        <f t="shared" si="22"/>
        <v>5825.5599999999868</v>
      </c>
      <c r="N331" t="s">
        <v>1810</v>
      </c>
      <c r="P331"/>
      <c r="Q331" s="261"/>
      <c r="R331"/>
      <c r="S331"/>
      <c r="T331"/>
      <c r="U331" s="262"/>
    </row>
    <row r="332" spans="1:24" x14ac:dyDescent="0.3">
      <c r="A332" s="26"/>
      <c r="B332" s="105" t="s">
        <v>492</v>
      </c>
      <c r="C332" s="4" t="s">
        <v>234</v>
      </c>
      <c r="D332" s="133" t="s">
        <v>518</v>
      </c>
      <c r="E332" s="120" t="s">
        <v>1808</v>
      </c>
      <c r="F332" s="27"/>
      <c r="G332" s="33"/>
      <c r="H332" s="42"/>
      <c r="I332" s="42"/>
      <c r="J332" s="42">
        <v>-50</v>
      </c>
      <c r="K332" s="43">
        <f t="shared" si="21"/>
        <v>-50</v>
      </c>
      <c r="L332" s="43">
        <f t="shared" si="22"/>
        <v>5775.5599999999868</v>
      </c>
      <c r="M332" s="18" t="s">
        <v>90</v>
      </c>
      <c r="O332" s="213"/>
      <c r="P332"/>
      <c r="Q332" s="261"/>
      <c r="R332"/>
      <c r="S332" s="261"/>
      <c r="T332" s="261"/>
      <c r="U332" s="262"/>
    </row>
    <row r="333" spans="1:24" x14ac:dyDescent="0.3">
      <c r="A333" s="26"/>
      <c r="B333" s="131" t="s">
        <v>492</v>
      </c>
      <c r="C333" s="4" t="s">
        <v>1790</v>
      </c>
      <c r="D333" s="133" t="s">
        <v>518</v>
      </c>
      <c r="E333" s="120" t="s">
        <v>1809</v>
      </c>
      <c r="F333" s="27"/>
      <c r="G333" s="120"/>
      <c r="H333" s="42"/>
      <c r="I333" s="42"/>
      <c r="J333" s="42">
        <v>-50</v>
      </c>
      <c r="K333" s="43">
        <f t="shared" si="21"/>
        <v>-50</v>
      </c>
      <c r="L333" s="43">
        <f t="shared" si="22"/>
        <v>5725.5599999999868</v>
      </c>
      <c r="O333" s="213"/>
      <c r="P333"/>
      <c r="Q333" s="261"/>
      <c r="R333"/>
      <c r="S333" s="261"/>
      <c r="T333" s="261"/>
      <c r="U333" s="262"/>
    </row>
    <row r="334" spans="1:24" x14ac:dyDescent="0.3">
      <c r="A334" s="26"/>
      <c r="B334" s="131" t="s">
        <v>492</v>
      </c>
      <c r="C334" s="4"/>
      <c r="D334" s="133"/>
      <c r="E334" s="33"/>
      <c r="F334" s="27"/>
      <c r="G334" s="33"/>
      <c r="H334" s="42"/>
      <c r="I334" s="42"/>
      <c r="J334" s="42"/>
      <c r="K334" s="43">
        <f>H334+J334</f>
        <v>0</v>
      </c>
      <c r="L334" s="43">
        <f t="shared" si="22"/>
        <v>5725.5599999999868</v>
      </c>
      <c r="O334" s="213"/>
      <c r="P334"/>
      <c r="Q334" s="261"/>
      <c r="R334"/>
      <c r="S334" s="261"/>
      <c r="T334" s="261"/>
      <c r="U334" s="262"/>
    </row>
    <row r="335" spans="1:24" x14ac:dyDescent="0.3">
      <c r="A335" s="26"/>
      <c r="B335" s="131" t="s">
        <v>492</v>
      </c>
      <c r="C335" s="4"/>
      <c r="D335" s="133"/>
      <c r="E335" s="33"/>
      <c r="F335" s="27"/>
      <c r="G335" s="33"/>
      <c r="H335" s="42"/>
      <c r="I335" s="42"/>
      <c r="J335" s="42"/>
      <c r="K335" s="43">
        <f>H335+J335</f>
        <v>0</v>
      </c>
      <c r="L335" s="43">
        <f t="shared" si="22"/>
        <v>5725.5599999999868</v>
      </c>
    </row>
    <row r="336" spans="1:24" x14ac:dyDescent="0.3">
      <c r="A336" s="12"/>
      <c r="B336" s="29"/>
      <c r="C336" s="11"/>
      <c r="D336" s="11"/>
      <c r="E336" s="33"/>
      <c r="F336" s="27"/>
      <c r="G336" s="33"/>
      <c r="H336" s="42"/>
      <c r="I336" s="42"/>
      <c r="J336" s="42"/>
      <c r="K336" s="43">
        <f>H336+J336</f>
        <v>0</v>
      </c>
      <c r="L336" s="43">
        <f t="shared" si="22"/>
        <v>5725.5599999999868</v>
      </c>
    </row>
    <row r="337" spans="1:17" ht="13.5" thickBot="1" x14ac:dyDescent="0.35">
      <c r="A337" s="12"/>
      <c r="B337" s="29"/>
      <c r="C337" s="11"/>
      <c r="D337" s="27"/>
      <c r="E337" s="33"/>
      <c r="F337" s="27"/>
      <c r="G337" s="33">
        <f>+L39</f>
        <v>0</v>
      </c>
      <c r="H337" s="173"/>
      <c r="I337" s="173">
        <f>SUM(I1:I336)</f>
        <v>0</v>
      </c>
      <c r="J337" s="173"/>
      <c r="K337" s="43">
        <f>H337+J337</f>
        <v>0</v>
      </c>
    </row>
    <row r="338" spans="1:17" ht="13.5" thickTop="1" x14ac:dyDescent="0.3">
      <c r="B338" s="59"/>
      <c r="C338" s="11"/>
      <c r="D338" s="27"/>
      <c r="E338" s="33"/>
      <c r="F338" s="52"/>
      <c r="G338" s="33"/>
      <c r="H338" s="42"/>
      <c r="I338" s="42"/>
      <c r="J338" s="42"/>
      <c r="K338" s="43">
        <f>H338+J338</f>
        <v>0</v>
      </c>
    </row>
    <row r="339" spans="1:17" x14ac:dyDescent="0.3">
      <c r="A339" s="24"/>
      <c r="B339" s="255"/>
      <c r="C339" s="11"/>
      <c r="D339" s="27"/>
      <c r="E339" s="33"/>
      <c r="F339" s="27"/>
      <c r="G339" s="33"/>
      <c r="H339" s="42"/>
      <c r="I339" s="42"/>
      <c r="J339" s="42"/>
    </row>
    <row r="340" spans="1:17" x14ac:dyDescent="0.3">
      <c r="A340" s="12"/>
      <c r="B340" s="24" t="s">
        <v>1540</v>
      </c>
      <c r="C340" s="255"/>
      <c r="D340" s="11"/>
      <c r="E340" s="27"/>
      <c r="F340" s="33"/>
      <c r="G340" s="27"/>
      <c r="H340" s="33"/>
      <c r="I340" s="42"/>
      <c r="J340" s="42"/>
      <c r="K340" s="42"/>
      <c r="M340" s="43"/>
      <c r="N340" s="18"/>
    </row>
    <row r="341" spans="1:17" x14ac:dyDescent="0.3">
      <c r="A341" s="12"/>
      <c r="B341" s="24"/>
      <c r="C341" s="255"/>
      <c r="D341" s="11"/>
      <c r="E341" s="27"/>
      <c r="F341" s="33"/>
      <c r="G341" s="27"/>
      <c r="H341" s="33"/>
      <c r="I341" s="42"/>
      <c r="J341" s="42"/>
      <c r="K341" s="42"/>
      <c r="M341" s="43"/>
      <c r="N341" s="18"/>
    </row>
    <row r="342" spans="1:17" x14ac:dyDescent="0.3">
      <c r="A342" s="12"/>
      <c r="B342" s="12"/>
      <c r="C342" s="29"/>
      <c r="D342" s="11" t="s">
        <v>110</v>
      </c>
      <c r="E342" s="27"/>
      <c r="F342" s="33"/>
      <c r="G342" s="27"/>
      <c r="H342" s="33"/>
      <c r="I342" s="42"/>
      <c r="J342" s="42"/>
      <c r="K342" s="42"/>
      <c r="M342" s="43">
        <f>6830.56</f>
        <v>6830.56</v>
      </c>
      <c r="N342" s="18"/>
    </row>
    <row r="343" spans="1:17" x14ac:dyDescent="0.3">
      <c r="A343" s="12"/>
      <c r="B343" s="12"/>
      <c r="C343" s="29"/>
      <c r="D343" s="11"/>
      <c r="E343" s="27"/>
      <c r="F343" s="13"/>
      <c r="G343" s="11"/>
      <c r="H343" s="13"/>
      <c r="L343" s="254" t="s">
        <v>1273</v>
      </c>
      <c r="M343" s="43"/>
      <c r="N343" s="18"/>
    </row>
    <row r="344" spans="1:17" x14ac:dyDescent="0.3">
      <c r="A344" s="12"/>
      <c r="B344" s="12"/>
      <c r="C344" s="29"/>
      <c r="D344" s="4" t="s">
        <v>1284</v>
      </c>
      <c r="E344" s="27"/>
      <c r="F344" s="13"/>
      <c r="G344" s="11"/>
      <c r="H344" s="13"/>
      <c r="M344" s="43"/>
      <c r="N344" s="18"/>
    </row>
    <row r="345" spans="1:17" x14ac:dyDescent="0.3">
      <c r="A345" s="12"/>
      <c r="B345" s="12"/>
      <c r="C345" s="29"/>
      <c r="D345" s="15"/>
      <c r="E345" s="27"/>
      <c r="F345" s="13"/>
      <c r="G345" s="11"/>
      <c r="H345" s="13"/>
      <c r="M345" s="43"/>
      <c r="N345" s="18"/>
    </row>
    <row r="346" spans="1:17" x14ac:dyDescent="0.3">
      <c r="A346" s="12"/>
      <c r="B346" s="12"/>
      <c r="C346" s="29"/>
      <c r="D346" t="s">
        <v>1787</v>
      </c>
      <c r="E346"/>
      <c r="F346" s="13"/>
      <c r="G346" s="15"/>
      <c r="H346" s="13"/>
      <c r="L346" s="4">
        <v>-1096</v>
      </c>
      <c r="M346" s="43"/>
      <c r="N346" s="18"/>
    </row>
    <row r="347" spans="1:17" x14ac:dyDescent="0.3">
      <c r="A347" s="12"/>
      <c r="B347" s="12"/>
      <c r="C347" s="29"/>
      <c r="D347" s="4" t="s">
        <v>1788</v>
      </c>
      <c r="E347"/>
      <c r="F347"/>
      <c r="G347" s="15"/>
      <c r="H347" s="13"/>
      <c r="I347"/>
      <c r="L347" s="4">
        <v>81</v>
      </c>
      <c r="M347" s="43"/>
      <c r="N347" s="18"/>
    </row>
    <row r="348" spans="1:17" x14ac:dyDescent="0.3">
      <c r="A348" s="12"/>
      <c r="B348" s="12"/>
      <c r="C348" s="29"/>
      <c r="D348" s="4" t="s">
        <v>1789</v>
      </c>
      <c r="E348"/>
      <c r="F348" s="4"/>
      <c r="G348"/>
      <c r="H348" s="13"/>
      <c r="I348"/>
      <c r="L348" s="43">
        <v>-40</v>
      </c>
      <c r="M348" s="43"/>
      <c r="N348" s="18"/>
    </row>
    <row r="349" spans="1:17" x14ac:dyDescent="0.3">
      <c r="A349" s="12"/>
      <c r="B349" s="12"/>
      <c r="C349" s="29"/>
      <c r="D349" s="4" t="s">
        <v>1790</v>
      </c>
      <c r="E349" s="244"/>
      <c r="G349"/>
      <c r="H349" s="15"/>
      <c r="I349"/>
      <c r="L349" s="43">
        <v>-50</v>
      </c>
      <c r="M349" s="43"/>
      <c r="N349" s="18"/>
    </row>
    <row r="350" spans="1:17" x14ac:dyDescent="0.3">
      <c r="A350" s="12"/>
      <c r="B350" s="12"/>
      <c r="C350" s="29"/>
      <c r="D350" s="11"/>
      <c r="E350" s="244"/>
      <c r="G350"/>
      <c r="H350" s="15"/>
      <c r="I350"/>
      <c r="M350" s="43">
        <f>SUM(L346:L349)</f>
        <v>-1105</v>
      </c>
      <c r="N350" s="18"/>
    </row>
    <row r="351" spans="1:17" ht="13.5" thickBot="1" x14ac:dyDescent="0.35">
      <c r="A351" s="12"/>
      <c r="B351" s="12"/>
      <c r="C351" s="29"/>
      <c r="D351" s="11"/>
      <c r="E351" s="52"/>
      <c r="F351" s="13"/>
      <c r="G351" s="15"/>
      <c r="H351" s="13"/>
      <c r="M351" s="43"/>
      <c r="N351" s="18"/>
      <c r="Q351" s="11">
        <f>M352-L333</f>
        <v>1.3642420526593924E-11</v>
      </c>
    </row>
    <row r="352" spans="1:17" ht="13.5" thickBot="1" x14ac:dyDescent="0.35">
      <c r="A352" s="12"/>
      <c r="B352" s="12"/>
      <c r="C352" s="29"/>
      <c r="D352" s="74" t="s">
        <v>1270</v>
      </c>
      <c r="E352" s="27"/>
      <c r="F352" s="13"/>
      <c r="G352" s="11"/>
      <c r="H352" s="13"/>
      <c r="M352" s="256">
        <f>SUM(M342:M351)</f>
        <v>5725.56</v>
      </c>
      <c r="N352" s="18"/>
    </row>
    <row r="353" spans="1:14" ht="13.5" thickTop="1" x14ac:dyDescent="0.3">
      <c r="A353" s="12"/>
      <c r="B353" s="12"/>
      <c r="C353" s="29"/>
      <c r="D353" s="11"/>
      <c r="E353" s="27"/>
      <c r="F353" s="13"/>
      <c r="G353" s="11"/>
      <c r="H353" s="13"/>
      <c r="M353" s="43"/>
      <c r="N353" s="18"/>
    </row>
    <row r="354" spans="1:14" x14ac:dyDescent="0.3">
      <c r="A354" s="12"/>
      <c r="B354" s="12"/>
      <c r="C354" s="29"/>
      <c r="D354" s="11"/>
      <c r="E354" s="27"/>
      <c r="F354" s="13"/>
      <c r="G354" s="11"/>
      <c r="H354" s="13"/>
      <c r="M354" s="43"/>
      <c r="N354" s="18"/>
    </row>
    <row r="355" spans="1:14" x14ac:dyDescent="0.3">
      <c r="A355" s="12"/>
      <c r="B355" s="12"/>
      <c r="C355" s="257" t="s">
        <v>1541</v>
      </c>
      <c r="D355" s="11"/>
      <c r="E355" s="27"/>
      <c r="F355" s="13"/>
      <c r="G355" s="11"/>
      <c r="H355" s="13"/>
      <c r="M355" s="43"/>
      <c r="N355" s="18"/>
    </row>
    <row r="356" spans="1:14" x14ac:dyDescent="0.3">
      <c r="A356" s="12"/>
      <c r="B356" s="39"/>
      <c r="C356" s="59"/>
      <c r="D356" s="15"/>
      <c r="E356" s="52"/>
      <c r="F356" s="13"/>
      <c r="G356" s="15"/>
      <c r="H356" s="13"/>
      <c r="M356" s="43"/>
      <c r="N356" s="18"/>
    </row>
    <row r="357" spans="1:14" x14ac:dyDescent="0.3">
      <c r="A357" s="12"/>
      <c r="B357" s="39"/>
      <c r="C357" s="59"/>
      <c r="D357" s="131" t="s">
        <v>1463</v>
      </c>
      <c r="E357" s="4" t="s">
        <v>1781</v>
      </c>
      <c r="F357" s="13"/>
      <c r="G357" s="15"/>
      <c r="H357" s="13">
        <v>50</v>
      </c>
      <c r="J357" s="254" t="s">
        <v>1782</v>
      </c>
      <c r="M357" s="43"/>
      <c r="N357" s="18"/>
    </row>
    <row r="358" spans="1:14" x14ac:dyDescent="0.3">
      <c r="A358" s="12"/>
      <c r="B358" s="39"/>
      <c r="C358" s="59"/>
      <c r="D358" s="131" t="s">
        <v>1464</v>
      </c>
      <c r="E358" s="4" t="s">
        <v>1781</v>
      </c>
      <c r="F358" s="13"/>
      <c r="G358" s="15"/>
      <c r="H358" s="13">
        <v>70</v>
      </c>
      <c r="J358" s="254" t="s">
        <v>1782</v>
      </c>
      <c r="M358" s="43"/>
      <c r="N358" s="18"/>
    </row>
    <row r="359" spans="1:14" ht="17.25" customHeight="1" x14ac:dyDescent="0.3">
      <c r="A359" s="12"/>
      <c r="B359" s="39"/>
      <c r="C359" s="59"/>
      <c r="D359" s="106" t="s">
        <v>489</v>
      </c>
      <c r="E359" s="4" t="s">
        <v>1591</v>
      </c>
      <c r="F359" s="13"/>
      <c r="G359" s="15"/>
      <c r="H359" s="13">
        <v>50</v>
      </c>
      <c r="J359" s="254" t="s">
        <v>1812</v>
      </c>
      <c r="M359" s="43"/>
      <c r="N359" s="18"/>
    </row>
    <row r="360" spans="1:14" x14ac:dyDescent="0.3">
      <c r="A360" s="12"/>
      <c r="B360" s="39"/>
      <c r="C360" s="59"/>
      <c r="D360" s="194" t="s">
        <v>489</v>
      </c>
      <c r="E360" s="1" t="s">
        <v>1612</v>
      </c>
      <c r="F360" s="13"/>
      <c r="G360" s="15"/>
      <c r="H360" s="13">
        <v>183</v>
      </c>
      <c r="J360" s="254" t="s">
        <v>1813</v>
      </c>
      <c r="M360" s="43"/>
      <c r="N360" s="18"/>
    </row>
    <row r="361" spans="1:14" x14ac:dyDescent="0.3">
      <c r="A361" s="12"/>
      <c r="B361" s="39"/>
      <c r="C361" s="59"/>
      <c r="D361" s="109" t="s">
        <v>490</v>
      </c>
      <c r="E361" s="4" t="s">
        <v>1633</v>
      </c>
      <c r="F361" s="13"/>
      <c r="G361" s="15"/>
      <c r="H361" s="13">
        <v>50</v>
      </c>
      <c r="J361" s="254" t="s">
        <v>1814</v>
      </c>
      <c r="M361" s="43"/>
      <c r="N361" s="18"/>
    </row>
    <row r="362" spans="1:14" x14ac:dyDescent="0.3">
      <c r="A362" s="15"/>
      <c r="B362" s="39"/>
      <c r="C362" s="59"/>
      <c r="D362" s="105" t="s">
        <v>400</v>
      </c>
      <c r="E362" s="4" t="s">
        <v>1642</v>
      </c>
      <c r="F362" s="13"/>
      <c r="G362" s="15"/>
      <c r="H362" s="13">
        <v>50</v>
      </c>
      <c r="J362" s="254" t="s">
        <v>1814</v>
      </c>
      <c r="M362" s="43"/>
      <c r="N362" s="18"/>
    </row>
    <row r="363" spans="1:14" x14ac:dyDescent="0.3">
      <c r="B363" s="39"/>
      <c r="C363" s="59"/>
      <c r="D363" s="105" t="s">
        <v>400</v>
      </c>
      <c r="E363" s="4" t="s">
        <v>1655</v>
      </c>
      <c r="F363" s="13"/>
      <c r="G363" s="15"/>
      <c r="H363" s="13">
        <v>50</v>
      </c>
      <c r="J363" s="254" t="s">
        <v>1814</v>
      </c>
      <c r="M363" s="43"/>
      <c r="N363" s="18"/>
    </row>
    <row r="364" spans="1:14" x14ac:dyDescent="0.3">
      <c r="B364" s="39"/>
      <c r="C364" s="59"/>
      <c r="D364" s="131" t="s">
        <v>491</v>
      </c>
      <c r="E364" s="4" t="s">
        <v>1713</v>
      </c>
      <c r="F364" s="13"/>
      <c r="G364" s="15"/>
      <c r="H364" s="13">
        <v>50</v>
      </c>
      <c r="J364" s="254" t="s">
        <v>1814</v>
      </c>
      <c r="M364" s="43"/>
      <c r="N364" s="18"/>
    </row>
    <row r="365" spans="1:14" x14ac:dyDescent="0.3">
      <c r="B365" s="39"/>
      <c r="C365" s="59"/>
      <c r="D365" s="131" t="s">
        <v>491</v>
      </c>
      <c r="E365" s="4" t="s">
        <v>1715</v>
      </c>
      <c r="F365" s="13"/>
      <c r="G365" s="15"/>
      <c r="H365" s="13">
        <v>200</v>
      </c>
      <c r="J365" s="254" t="s">
        <v>1815</v>
      </c>
      <c r="M365" s="43"/>
      <c r="N365" s="18"/>
    </row>
    <row r="366" spans="1:14" x14ac:dyDescent="0.3">
      <c r="B366" s="39"/>
      <c r="C366" s="59"/>
      <c r="D366" s="131" t="s">
        <v>491</v>
      </c>
      <c r="E366" s="4" t="s">
        <v>1724</v>
      </c>
      <c r="F366" s="13"/>
      <c r="G366" s="15"/>
      <c r="H366" s="13">
        <v>50</v>
      </c>
      <c r="J366" s="254" t="s">
        <v>1816</v>
      </c>
      <c r="M366" s="43"/>
      <c r="N366" s="18"/>
    </row>
    <row r="367" spans="1:14" x14ac:dyDescent="0.3">
      <c r="B367" s="39"/>
      <c r="C367" s="59"/>
      <c r="D367" s="131" t="s">
        <v>491</v>
      </c>
      <c r="E367" s="4" t="s">
        <v>1738</v>
      </c>
      <c r="F367" s="13"/>
      <c r="G367" s="15"/>
      <c r="H367" s="13">
        <v>50</v>
      </c>
      <c r="J367" s="254" t="s">
        <v>1814</v>
      </c>
      <c r="M367" s="43"/>
      <c r="N367" s="18"/>
    </row>
    <row r="368" spans="1:14" x14ac:dyDescent="0.3">
      <c r="B368" s="39"/>
      <c r="C368" s="59"/>
      <c r="D368" s="131" t="s">
        <v>491</v>
      </c>
      <c r="E368" s="4" t="s">
        <v>1746</v>
      </c>
      <c r="F368" s="13"/>
      <c r="G368" s="15"/>
      <c r="H368" s="13">
        <v>50</v>
      </c>
      <c r="J368" s="269" t="s">
        <v>1748</v>
      </c>
      <c r="M368" s="43"/>
      <c r="N368" s="18"/>
    </row>
    <row r="369" spans="1:25" x14ac:dyDescent="0.3">
      <c r="B369" s="39"/>
      <c r="C369" s="59"/>
      <c r="D369" s="105" t="s">
        <v>492</v>
      </c>
      <c r="E369" s="4" t="s">
        <v>1759</v>
      </c>
      <c r="F369" s="120"/>
      <c r="G369" s="27"/>
      <c r="H369" s="210">
        <v>50</v>
      </c>
      <c r="I369" s="42"/>
      <c r="J369" s="254" t="s">
        <v>1817</v>
      </c>
      <c r="M369" s="43"/>
      <c r="N369" s="18"/>
    </row>
    <row r="370" spans="1:25" x14ac:dyDescent="0.3">
      <c r="B370" s="39"/>
      <c r="C370" s="283"/>
      <c r="D370" s="105" t="s">
        <v>492</v>
      </c>
      <c r="E370" s="4" t="s">
        <v>1776</v>
      </c>
      <c r="F370" s="120"/>
      <c r="G370" s="27"/>
      <c r="H370" s="210">
        <v>50</v>
      </c>
      <c r="I370" s="42"/>
      <c r="J370" s="254" t="s">
        <v>1818</v>
      </c>
      <c r="M370" s="43"/>
      <c r="N370" s="18"/>
    </row>
    <row r="371" spans="1:25" x14ac:dyDescent="0.3">
      <c r="B371" s="39"/>
      <c r="C371" s="29"/>
      <c r="D371" s="105" t="s">
        <v>492</v>
      </c>
      <c r="E371" s="4" t="s">
        <v>1265</v>
      </c>
      <c r="F371" s="120"/>
      <c r="G371" s="27"/>
      <c r="H371" s="210">
        <v>50</v>
      </c>
      <c r="I371" s="42"/>
      <c r="J371" s="254" t="s">
        <v>1819</v>
      </c>
      <c r="M371" s="43"/>
      <c r="N371" s="18"/>
    </row>
    <row r="372" spans="1:25" x14ac:dyDescent="0.3">
      <c r="B372" s="39"/>
      <c r="C372" s="284"/>
      <c r="D372" s="43"/>
      <c r="E372" s="43"/>
      <c r="F372" s="43"/>
      <c r="G372" s="43"/>
      <c r="M372" s="43"/>
      <c r="N372" s="18"/>
    </row>
    <row r="373" spans="1:25" x14ac:dyDescent="0.3">
      <c r="B373" s="39"/>
      <c r="C373" s="257"/>
      <c r="D373" s="4"/>
      <c r="E373" s="27"/>
      <c r="F373" s="120"/>
      <c r="G373" s="52"/>
      <c r="H373" s="210"/>
      <c r="I373" s="42"/>
      <c r="M373" s="43"/>
      <c r="N373" s="18"/>
    </row>
    <row r="374" spans="1:25" x14ac:dyDescent="0.3">
      <c r="B374" s="39"/>
      <c r="C374" s="59"/>
      <c r="D374" s="15"/>
      <c r="E374" s="258" t="s">
        <v>1274</v>
      </c>
      <c r="F374" s="13"/>
      <c r="G374" s="15"/>
      <c r="H374" s="22">
        <f>SUM(H357:H371)</f>
        <v>1053</v>
      </c>
      <c r="I374" s="75">
        <f>SUM(I369:I371)</f>
        <v>0</v>
      </c>
      <c r="M374" s="43"/>
      <c r="N374" s="18"/>
    </row>
    <row r="375" spans="1:25" x14ac:dyDescent="0.3">
      <c r="B375" s="39"/>
      <c r="C375" s="59"/>
      <c r="D375" s="15"/>
      <c r="E375" s="52"/>
      <c r="F375" s="13"/>
      <c r="G375" s="15"/>
      <c r="H375" s="13"/>
      <c r="M375" s="43"/>
      <c r="N375" s="18"/>
    </row>
    <row r="376" spans="1:25" x14ac:dyDescent="0.3">
      <c r="B376" s="59"/>
      <c r="C376" s="29"/>
      <c r="D376" s="4"/>
      <c r="E376" s="120"/>
      <c r="F376" s="27"/>
      <c r="G376" s="210"/>
      <c r="H376" s="15"/>
    </row>
    <row r="377" spans="1:25" s="43" customFormat="1" x14ac:dyDescent="0.3">
      <c r="A377" s="39"/>
      <c r="B377" s="283"/>
      <c r="C377" s="29"/>
      <c r="D377" s="4"/>
      <c r="E377" s="120"/>
      <c r="F377" s="27"/>
      <c r="G377" s="210"/>
      <c r="H377" s="42"/>
      <c r="M377" s="18"/>
      <c r="N377" s="15"/>
      <c r="O377" s="16"/>
      <c r="P377" s="15"/>
      <c r="Q377" s="11"/>
      <c r="R377" s="15"/>
      <c r="S377" s="15"/>
      <c r="T377" s="15"/>
      <c r="U377" s="15"/>
      <c r="V377" s="15"/>
      <c r="W377" s="15"/>
      <c r="X377" s="15"/>
      <c r="Y377" s="15"/>
    </row>
    <row r="378" spans="1:25" s="43" customFormat="1" x14ac:dyDescent="0.3">
      <c r="A378" s="39"/>
      <c r="B378" s="283"/>
      <c r="C378" s="29"/>
      <c r="D378" s="4"/>
      <c r="E378" s="120"/>
      <c r="F378" s="27"/>
      <c r="G378" s="210"/>
      <c r="H378" s="42"/>
      <c r="M378" s="18"/>
      <c r="N378" s="15"/>
      <c r="O378" s="16"/>
      <c r="P378" s="15"/>
      <c r="Q378" s="11"/>
      <c r="R378" s="15"/>
      <c r="S378" s="15"/>
      <c r="T378" s="15"/>
      <c r="U378" s="15"/>
      <c r="V378" s="15"/>
      <c r="W378" s="15"/>
      <c r="X378" s="15"/>
      <c r="Y378" s="15"/>
    </row>
    <row r="379" spans="1:25" s="43" customFormat="1" x14ac:dyDescent="0.3">
      <c r="A379" s="39"/>
      <c r="B379" s="29"/>
      <c r="C379" s="128"/>
      <c r="D379" s="128"/>
      <c r="E379" s="120"/>
      <c r="F379" s="27"/>
      <c r="G379" s="210"/>
      <c r="H379" s="42"/>
      <c r="M379" s="18"/>
      <c r="N379" s="15"/>
      <c r="O379" s="16"/>
      <c r="P379" s="15"/>
      <c r="Q379" s="11"/>
      <c r="R379" s="15"/>
      <c r="S379" s="15"/>
      <c r="T379" s="15"/>
      <c r="U379" s="15"/>
      <c r="V379" s="15"/>
      <c r="W379" s="15"/>
      <c r="X379" s="15"/>
      <c r="Y379" s="15"/>
    </row>
    <row r="380" spans="1:25" s="43" customFormat="1" x14ac:dyDescent="0.3">
      <c r="A380" s="39"/>
      <c r="B380" s="284"/>
      <c r="C380" s="42"/>
      <c r="H380" s="42"/>
      <c r="M380" s="18"/>
      <c r="N380" s="15"/>
      <c r="O380" s="16"/>
      <c r="P380" s="15"/>
      <c r="Q380" s="11"/>
      <c r="R380" s="15"/>
      <c r="S380" s="15"/>
      <c r="T380" s="15"/>
      <c r="U380" s="15"/>
      <c r="V380" s="15"/>
      <c r="W380" s="15"/>
      <c r="X380" s="15"/>
      <c r="Y380" s="15"/>
    </row>
    <row r="381" spans="1:25" s="43" customFormat="1" x14ac:dyDescent="0.3">
      <c r="A381" s="39"/>
      <c r="B381" s="284"/>
      <c r="C381" s="42"/>
      <c r="H381" s="42"/>
      <c r="M381" s="18"/>
      <c r="N381" s="15"/>
      <c r="O381" s="16"/>
      <c r="P381" s="15"/>
      <c r="Q381" s="11"/>
      <c r="R381" s="15"/>
      <c r="S381" s="15"/>
      <c r="T381" s="15"/>
      <c r="U381" s="15"/>
      <c r="V381" s="15"/>
      <c r="W381" s="15"/>
      <c r="X381" s="15"/>
      <c r="Y381" s="15"/>
    </row>
    <row r="382" spans="1:25" s="43" customFormat="1" x14ac:dyDescent="0.3">
      <c r="A382" s="39"/>
      <c r="B382" s="29"/>
      <c r="C382" s="128"/>
      <c r="D382" s="128"/>
      <c r="E382" s="120"/>
      <c r="F382" s="52"/>
      <c r="G382" s="210"/>
      <c r="H382" s="42"/>
      <c r="M382" s="18"/>
      <c r="N382" s="15"/>
      <c r="O382" s="16"/>
      <c r="P382" s="15"/>
      <c r="Q382" s="11"/>
      <c r="R382" s="15"/>
      <c r="S382" s="15"/>
      <c r="T382" s="15"/>
      <c r="U382" s="15"/>
      <c r="V382" s="15"/>
      <c r="W382" s="15"/>
      <c r="X382" s="15"/>
      <c r="Y382" s="15"/>
    </row>
    <row r="383" spans="1:25" s="43" customFormat="1" x14ac:dyDescent="0.3">
      <c r="A383" s="39"/>
      <c r="B383" s="29"/>
      <c r="C383" s="128"/>
      <c r="D383" s="128"/>
      <c r="E383" s="120"/>
      <c r="F383" s="52"/>
      <c r="G383" s="210"/>
      <c r="H383" s="42"/>
      <c r="M383" s="18"/>
      <c r="N383" s="15"/>
      <c r="O383" s="16"/>
      <c r="P383" s="15"/>
      <c r="Q383" s="11"/>
      <c r="R383" s="15"/>
      <c r="S383" s="15"/>
      <c r="T383" s="15"/>
      <c r="U383" s="15"/>
      <c r="V383" s="15"/>
      <c r="W383" s="15"/>
      <c r="X383" s="15"/>
      <c r="Y383" s="15"/>
    </row>
    <row r="384" spans="1:25" s="43" customFormat="1" x14ac:dyDescent="0.3">
      <c r="A384" s="39"/>
      <c r="B384" s="257"/>
      <c r="C384" s="128"/>
      <c r="D384" s="128"/>
      <c r="E384" s="120"/>
      <c r="F384" s="52"/>
      <c r="G384" s="210"/>
      <c r="H384" s="42"/>
      <c r="M384" s="18"/>
      <c r="N384" s="15"/>
      <c r="O384" s="16"/>
      <c r="P384" s="15"/>
      <c r="Q384" s="11"/>
      <c r="R384" s="15"/>
      <c r="S384" s="15"/>
      <c r="T384" s="15"/>
      <c r="U384" s="15"/>
      <c r="V384" s="15"/>
      <c r="W384" s="15"/>
      <c r="X384" s="15"/>
      <c r="Y384" s="15"/>
    </row>
    <row r="385" spans="1:25" s="43" customFormat="1" x14ac:dyDescent="0.3">
      <c r="A385" s="39"/>
      <c r="B385" s="257"/>
      <c r="C385" s="128"/>
      <c r="D385" s="27"/>
      <c r="E385" s="120"/>
      <c r="F385" s="52"/>
      <c r="G385" s="210"/>
      <c r="H385" s="42"/>
      <c r="M385" s="18"/>
      <c r="N385" s="15"/>
      <c r="O385" s="16"/>
      <c r="P385" s="15"/>
      <c r="Q385" s="11"/>
      <c r="R385" s="15"/>
      <c r="S385" s="15"/>
      <c r="T385" s="15"/>
      <c r="U385" s="15"/>
      <c r="V385" s="15"/>
      <c r="W385" s="15"/>
      <c r="X385" s="15"/>
      <c r="Y385" s="15"/>
    </row>
    <row r="386" spans="1:25" s="43" customFormat="1" x14ac:dyDescent="0.3">
      <c r="A386" s="39"/>
      <c r="B386" s="257"/>
      <c r="C386" s="128"/>
      <c r="D386" s="27"/>
      <c r="E386" s="120"/>
      <c r="F386" s="52"/>
      <c r="G386" s="210"/>
      <c r="H386" s="42"/>
      <c r="M386" s="18"/>
      <c r="N386" s="15"/>
      <c r="O386" s="16"/>
      <c r="P386" s="15"/>
      <c r="Q386" s="11"/>
      <c r="R386" s="15"/>
      <c r="S386" s="15"/>
      <c r="T386" s="15"/>
      <c r="U386" s="15"/>
      <c r="V386" s="15"/>
      <c r="W386" s="15"/>
      <c r="X386" s="15"/>
      <c r="Y386" s="15"/>
    </row>
    <row r="387" spans="1:25" s="43" customFormat="1" x14ac:dyDescent="0.3">
      <c r="A387" s="39"/>
      <c r="B387" s="59"/>
      <c r="C387" s="52"/>
      <c r="D387" s="258"/>
      <c r="E387" s="13"/>
      <c r="F387" s="15"/>
      <c r="G387" s="13"/>
      <c r="H387" s="75"/>
      <c r="M387" s="18"/>
      <c r="N387" s="15"/>
      <c r="O387" s="16"/>
      <c r="P387" s="15"/>
      <c r="Q387" s="11"/>
      <c r="R387" s="15"/>
      <c r="S387" s="15"/>
      <c r="T387" s="15"/>
      <c r="U387" s="15"/>
      <c r="V387" s="15"/>
      <c r="W387" s="15"/>
      <c r="X387" s="15"/>
      <c r="Y387" s="15"/>
    </row>
    <row r="388" spans="1:25" s="43" customFormat="1" x14ac:dyDescent="0.3">
      <c r="A388" s="39"/>
      <c r="B388" s="59"/>
      <c r="C388" s="15"/>
      <c r="D388" s="52"/>
      <c r="E388" s="13"/>
      <c r="F388" s="15"/>
      <c r="G388" s="13"/>
      <c r="M388" s="18"/>
      <c r="N388" s="15"/>
      <c r="O388" s="16"/>
      <c r="P388" s="15"/>
      <c r="Q388" s="11"/>
      <c r="R388" s="15"/>
      <c r="S388" s="15"/>
      <c r="T388" s="15"/>
      <c r="U388" s="15"/>
      <c r="V388" s="15"/>
      <c r="W388" s="15"/>
      <c r="X388" s="15"/>
      <c r="Y388" s="15"/>
    </row>
    <row r="389" spans="1:25" s="43" customFormat="1" x14ac:dyDescent="0.3">
      <c r="A389" s="39"/>
      <c r="B389" s="59"/>
      <c r="C389" s="15"/>
      <c r="D389" s="52"/>
      <c r="E389" s="13"/>
      <c r="F389" s="15"/>
      <c r="G389" s="13"/>
      <c r="M389" s="18"/>
      <c r="N389" s="15"/>
      <c r="O389" s="16"/>
      <c r="P389" s="15"/>
      <c r="Q389" s="11"/>
      <c r="R389" s="15"/>
      <c r="S389" s="15"/>
      <c r="T389" s="15"/>
      <c r="U389" s="15"/>
      <c r="V389" s="15"/>
      <c r="W389" s="15"/>
      <c r="X389" s="15"/>
      <c r="Y389" s="15"/>
    </row>
    <row r="390" spans="1:25" s="43" customFormat="1" x14ac:dyDescent="0.3">
      <c r="A390" s="39"/>
      <c r="B390" s="59"/>
      <c r="C390" s="15"/>
      <c r="D390" s="52"/>
      <c r="E390" s="13"/>
      <c r="F390" s="15"/>
      <c r="G390" s="13"/>
      <c r="M390" s="18"/>
      <c r="N390" s="15"/>
      <c r="O390" s="16"/>
      <c r="P390" s="15"/>
      <c r="Q390" s="11"/>
      <c r="R390" s="15"/>
      <c r="S390" s="15"/>
      <c r="T390" s="15"/>
      <c r="U390" s="15"/>
      <c r="V390" s="15"/>
      <c r="W390" s="15"/>
      <c r="X390" s="15"/>
      <c r="Y390" s="15"/>
    </row>
    <row r="391" spans="1:25" s="43" customFormat="1" x14ac:dyDescent="0.3">
      <c r="A391" s="39"/>
      <c r="B391" s="59"/>
      <c r="C391" s="15"/>
      <c r="D391" s="52"/>
      <c r="E391" s="13"/>
      <c r="F391" s="15"/>
      <c r="G391" s="13"/>
      <c r="M391" s="18"/>
      <c r="N391" s="15"/>
      <c r="O391" s="16"/>
      <c r="P391" s="15"/>
      <c r="Q391" s="11"/>
      <c r="R391" s="15"/>
      <c r="S391" s="15"/>
      <c r="T391" s="15"/>
      <c r="U391" s="15"/>
      <c r="V391" s="15"/>
      <c r="W391" s="15"/>
      <c r="X391" s="15"/>
      <c r="Y391" s="15"/>
    </row>
    <row r="392" spans="1:25" s="43" customFormat="1" x14ac:dyDescent="0.3">
      <c r="A392" s="39"/>
      <c r="B392" s="59"/>
      <c r="C392" s="15"/>
      <c r="D392" s="52"/>
      <c r="E392" s="13"/>
      <c r="F392" s="15"/>
      <c r="G392" s="13"/>
      <c r="M392" s="18"/>
      <c r="N392" s="15"/>
      <c r="O392" s="16"/>
      <c r="P392" s="15"/>
      <c r="Q392" s="11"/>
      <c r="R392" s="15"/>
      <c r="S392" s="15"/>
      <c r="T392" s="15"/>
      <c r="U392" s="15"/>
      <c r="V392" s="15"/>
      <c r="W392" s="15"/>
      <c r="X392" s="15"/>
      <c r="Y392" s="15"/>
    </row>
    <row r="393" spans="1:25" s="13" customFormat="1" x14ac:dyDescent="0.3">
      <c r="A393" s="39"/>
      <c r="B393" s="59"/>
      <c r="C393" s="15"/>
      <c r="D393" s="52"/>
      <c r="F393" s="15"/>
      <c r="H393" s="43"/>
      <c r="I393" s="43"/>
      <c r="J393" s="43"/>
      <c r="K393" s="43"/>
      <c r="L393" s="43"/>
      <c r="M393" s="18"/>
      <c r="N393" s="15"/>
      <c r="O393" s="16"/>
      <c r="P393" s="15"/>
      <c r="Q393" s="11"/>
      <c r="R393" s="15"/>
      <c r="S393" s="15"/>
      <c r="T393" s="15"/>
      <c r="U393" s="15"/>
      <c r="V393" s="15"/>
      <c r="W393" s="15"/>
      <c r="X393" s="15"/>
      <c r="Y393" s="15"/>
    </row>
    <row r="394" spans="1:25" s="13" customFormat="1" x14ac:dyDescent="0.3">
      <c r="A394" s="39"/>
      <c r="B394" s="59"/>
      <c r="C394" s="15"/>
      <c r="D394" s="52"/>
      <c r="F394" s="15"/>
      <c r="H394" s="43"/>
      <c r="I394" s="43"/>
      <c r="J394" s="43"/>
      <c r="K394" s="43"/>
      <c r="L394" s="43"/>
      <c r="M394" s="18"/>
      <c r="N394" s="15"/>
      <c r="O394" s="16"/>
      <c r="P394" s="15"/>
      <c r="Q394" s="11"/>
      <c r="R394" s="15"/>
      <c r="S394" s="15"/>
      <c r="T394" s="15"/>
      <c r="U394" s="15"/>
      <c r="V394" s="15"/>
      <c r="W394" s="15"/>
      <c r="X394" s="15"/>
      <c r="Y394" s="15"/>
    </row>
    <row r="395" spans="1:25" s="13" customFormat="1" x14ac:dyDescent="0.3">
      <c r="A395" s="39"/>
      <c r="B395" s="59"/>
      <c r="C395" s="15"/>
      <c r="D395" s="52"/>
      <c r="F395" s="15"/>
      <c r="H395" s="43"/>
      <c r="I395" s="43"/>
      <c r="J395" s="43"/>
      <c r="K395" s="43"/>
      <c r="L395" s="43"/>
      <c r="M395" s="18"/>
      <c r="N395" s="15"/>
      <c r="O395" s="16"/>
      <c r="P395" s="15"/>
      <c r="Q395" s="11"/>
      <c r="R395" s="15"/>
      <c r="S395" s="15"/>
      <c r="T395" s="15"/>
      <c r="U395" s="15"/>
      <c r="V395" s="15"/>
      <c r="W395" s="15"/>
      <c r="X395" s="15"/>
      <c r="Y395" s="15"/>
    </row>
    <row r="396" spans="1:25" s="13" customFormat="1" x14ac:dyDescent="0.3">
      <c r="A396" s="39"/>
      <c r="B396" s="59"/>
      <c r="C396" s="15"/>
      <c r="D396" s="52"/>
      <c r="F396" s="15"/>
      <c r="H396" s="43"/>
      <c r="I396" s="43"/>
      <c r="J396" s="43"/>
      <c r="K396" s="43"/>
      <c r="L396" s="43"/>
      <c r="M396" s="18"/>
      <c r="N396" s="15"/>
      <c r="O396" s="16"/>
      <c r="P396" s="15"/>
      <c r="Q396" s="11"/>
      <c r="R396" s="15"/>
      <c r="S396" s="15"/>
      <c r="T396" s="15"/>
      <c r="U396" s="15"/>
      <c r="V396" s="15"/>
      <c r="W396" s="15"/>
      <c r="X396" s="15"/>
      <c r="Y396" s="15"/>
    </row>
    <row r="397" spans="1:25" s="13" customFormat="1" x14ac:dyDescent="0.3">
      <c r="A397" s="39"/>
      <c r="B397" s="59"/>
      <c r="C397" s="15"/>
      <c r="D397" s="52"/>
      <c r="F397" s="15"/>
      <c r="H397" s="43"/>
      <c r="I397" s="43"/>
      <c r="J397" s="43"/>
      <c r="K397" s="43"/>
      <c r="L397" s="43"/>
      <c r="M397" s="18"/>
      <c r="N397" s="15"/>
      <c r="O397" s="16"/>
      <c r="P397" s="15"/>
      <c r="Q397" s="11"/>
      <c r="R397" s="15"/>
      <c r="S397" s="15"/>
      <c r="T397" s="15"/>
      <c r="U397" s="15"/>
      <c r="V397" s="15"/>
      <c r="W397" s="15"/>
      <c r="X397" s="15"/>
      <c r="Y397" s="15"/>
    </row>
    <row r="398" spans="1:25" s="13" customFormat="1" x14ac:dyDescent="0.3">
      <c r="A398" s="39"/>
      <c r="B398" s="59"/>
      <c r="C398" s="15"/>
      <c r="D398" s="52"/>
      <c r="F398" s="15"/>
      <c r="H398" s="43"/>
      <c r="I398" s="43"/>
      <c r="J398" s="43"/>
      <c r="K398" s="43"/>
      <c r="L398" s="43"/>
      <c r="M398" s="18"/>
      <c r="N398" s="15"/>
      <c r="O398" s="16"/>
      <c r="P398" s="15"/>
      <c r="Q398" s="11"/>
      <c r="R398" s="15"/>
      <c r="S398" s="15"/>
      <c r="T398" s="15"/>
      <c r="U398" s="15"/>
      <c r="V398" s="15"/>
      <c r="W398" s="15"/>
      <c r="X398" s="15"/>
      <c r="Y398" s="15"/>
    </row>
    <row r="399" spans="1:25" s="13" customFormat="1" x14ac:dyDescent="0.3">
      <c r="A399" s="39"/>
      <c r="B399" s="59"/>
      <c r="C399" s="15"/>
      <c r="D399" s="52"/>
      <c r="F399" s="15"/>
      <c r="H399" s="43"/>
      <c r="I399" s="43"/>
      <c r="J399" s="43"/>
      <c r="K399" s="43"/>
      <c r="L399" s="43"/>
      <c r="M399" s="18"/>
      <c r="N399" s="15"/>
      <c r="O399" s="16"/>
      <c r="P399" s="15"/>
      <c r="Q399" s="11"/>
      <c r="R399" s="15"/>
      <c r="S399" s="15"/>
      <c r="T399" s="15"/>
      <c r="U399" s="15"/>
      <c r="V399" s="15"/>
      <c r="W399" s="15"/>
      <c r="X399" s="15"/>
      <c r="Y399" s="15"/>
    </row>
    <row r="400" spans="1:25" s="13" customFormat="1" x14ac:dyDescent="0.3">
      <c r="A400" s="39"/>
      <c r="B400" s="59"/>
      <c r="C400" s="15"/>
      <c r="D400" s="52"/>
      <c r="F400" s="15"/>
      <c r="H400" s="43"/>
      <c r="I400" s="43"/>
      <c r="J400" s="43"/>
      <c r="K400" s="43"/>
      <c r="L400" s="43"/>
      <c r="M400" s="18"/>
      <c r="N400" s="15"/>
      <c r="O400" s="16"/>
      <c r="P400" s="15"/>
      <c r="Q400" s="11"/>
      <c r="R400" s="15"/>
      <c r="S400" s="15"/>
      <c r="T400" s="15"/>
      <c r="U400" s="15"/>
      <c r="V400" s="15"/>
      <c r="W400" s="15"/>
      <c r="X400" s="15"/>
      <c r="Y400" s="15"/>
    </row>
    <row r="401" spans="1:25" s="13" customFormat="1" x14ac:dyDescent="0.3">
      <c r="A401" s="39"/>
      <c r="B401" s="59"/>
      <c r="C401" s="15"/>
      <c r="D401" s="52"/>
      <c r="F401" s="15"/>
      <c r="H401" s="43"/>
      <c r="I401" s="43"/>
      <c r="J401" s="43"/>
      <c r="K401" s="43"/>
      <c r="L401" s="43"/>
      <c r="M401" s="18"/>
      <c r="N401" s="15"/>
      <c r="O401" s="16"/>
      <c r="P401" s="15"/>
      <c r="Q401" s="11"/>
      <c r="R401" s="15"/>
      <c r="S401" s="15"/>
      <c r="T401" s="15"/>
      <c r="U401" s="15"/>
      <c r="V401" s="15"/>
      <c r="W401" s="15"/>
      <c r="X401" s="15"/>
      <c r="Y401" s="15"/>
    </row>
    <row r="402" spans="1:25" s="13" customFormat="1" x14ac:dyDescent="0.3">
      <c r="A402" s="39"/>
      <c r="B402" s="59"/>
      <c r="C402" s="15"/>
      <c r="D402" s="52"/>
      <c r="F402" s="15"/>
      <c r="H402" s="43"/>
      <c r="I402" s="43"/>
      <c r="J402" s="43"/>
      <c r="K402" s="43"/>
      <c r="L402" s="43"/>
      <c r="M402" s="18"/>
      <c r="N402" s="15"/>
      <c r="O402" s="16"/>
      <c r="P402" s="15"/>
      <c r="Q402" s="11"/>
      <c r="R402" s="15"/>
      <c r="S402" s="15"/>
      <c r="T402" s="15"/>
      <c r="U402" s="15"/>
      <c r="V402" s="15"/>
      <c r="W402" s="15"/>
      <c r="X402" s="15"/>
      <c r="Y402" s="15"/>
    </row>
    <row r="403" spans="1:25" s="13" customFormat="1" x14ac:dyDescent="0.3">
      <c r="A403" s="39"/>
      <c r="B403" s="59"/>
      <c r="C403" s="15"/>
      <c r="D403" s="52"/>
      <c r="F403" s="15"/>
      <c r="H403" s="43"/>
      <c r="I403" s="43"/>
      <c r="J403" s="43"/>
      <c r="K403" s="43"/>
      <c r="L403" s="43"/>
      <c r="M403" s="18"/>
      <c r="N403" s="15"/>
      <c r="O403" s="16"/>
      <c r="P403" s="15"/>
      <c r="Q403" s="11"/>
      <c r="R403" s="15"/>
      <c r="S403" s="15"/>
      <c r="T403" s="15"/>
      <c r="U403" s="15"/>
      <c r="V403" s="15"/>
      <c r="W403" s="15"/>
      <c r="X403" s="15"/>
      <c r="Y403" s="15"/>
    </row>
    <row r="404" spans="1:25" s="13" customFormat="1" x14ac:dyDescent="0.3">
      <c r="A404" s="39"/>
      <c r="B404" s="59"/>
      <c r="C404" s="15"/>
      <c r="D404" s="52"/>
      <c r="F404" s="15"/>
      <c r="H404" s="43"/>
      <c r="I404" s="43"/>
      <c r="J404" s="43"/>
      <c r="K404" s="43"/>
      <c r="L404" s="43"/>
      <c r="M404" s="18"/>
      <c r="N404" s="15"/>
      <c r="O404" s="16"/>
      <c r="P404" s="15"/>
      <c r="Q404" s="11"/>
      <c r="R404" s="15"/>
      <c r="S404" s="15"/>
      <c r="T404" s="15"/>
      <c r="U404" s="15"/>
      <c r="V404" s="15"/>
      <c r="W404" s="15"/>
      <c r="X404" s="15"/>
      <c r="Y404" s="15"/>
    </row>
    <row r="405" spans="1:25" s="13" customFormat="1" x14ac:dyDescent="0.3">
      <c r="A405" s="39"/>
      <c r="B405" s="59"/>
      <c r="C405" s="15"/>
      <c r="D405" s="52"/>
      <c r="F405" s="15"/>
      <c r="H405" s="43"/>
      <c r="I405" s="43"/>
      <c r="J405" s="43"/>
      <c r="K405" s="43"/>
      <c r="L405" s="43"/>
      <c r="M405" s="18"/>
      <c r="N405" s="15"/>
      <c r="O405" s="16"/>
      <c r="P405" s="15"/>
      <c r="Q405" s="11"/>
      <c r="R405" s="15"/>
      <c r="S405" s="15"/>
      <c r="T405" s="15"/>
      <c r="U405" s="15"/>
      <c r="V405" s="15"/>
      <c r="W405" s="15"/>
      <c r="X405" s="15"/>
      <c r="Y405" s="15"/>
    </row>
    <row r="406" spans="1:25" s="13" customFormat="1" x14ac:dyDescent="0.3">
      <c r="A406" s="39"/>
      <c r="B406" s="59"/>
      <c r="C406" s="15"/>
      <c r="D406" s="52"/>
      <c r="F406" s="15"/>
      <c r="H406" s="43"/>
      <c r="I406" s="43"/>
      <c r="J406" s="43"/>
      <c r="K406" s="43"/>
      <c r="L406" s="43"/>
      <c r="M406" s="18"/>
      <c r="N406" s="15"/>
      <c r="O406" s="16"/>
      <c r="P406" s="15"/>
      <c r="Q406" s="11"/>
      <c r="R406" s="15"/>
      <c r="S406" s="15"/>
      <c r="T406" s="15"/>
      <c r="U406" s="15"/>
      <c r="V406" s="15"/>
      <c r="W406" s="15"/>
      <c r="X406" s="15"/>
      <c r="Y406" s="15"/>
    </row>
    <row r="407" spans="1:25" s="13" customFormat="1" x14ac:dyDescent="0.3">
      <c r="A407" s="39"/>
      <c r="B407" s="59"/>
      <c r="C407" s="15"/>
      <c r="D407" s="52"/>
      <c r="F407" s="15"/>
      <c r="H407" s="43"/>
      <c r="I407" s="43"/>
      <c r="J407" s="43"/>
      <c r="K407" s="43"/>
      <c r="L407" s="43"/>
      <c r="M407" s="18"/>
      <c r="N407" s="15"/>
      <c r="O407" s="16"/>
      <c r="P407" s="15"/>
      <c r="Q407" s="11"/>
      <c r="R407" s="15"/>
      <c r="S407" s="15"/>
      <c r="T407" s="15"/>
      <c r="U407" s="15"/>
      <c r="V407" s="15"/>
      <c r="W407" s="15"/>
      <c r="X407" s="15"/>
      <c r="Y407" s="15"/>
    </row>
    <row r="408" spans="1:25" s="13" customFormat="1" x14ac:dyDescent="0.3">
      <c r="A408" s="39"/>
      <c r="B408" s="59"/>
      <c r="C408" s="15"/>
      <c r="D408" s="52"/>
      <c r="F408" s="15"/>
      <c r="H408" s="43"/>
      <c r="I408" s="43"/>
      <c r="J408" s="43"/>
      <c r="K408" s="43"/>
      <c r="L408" s="43"/>
      <c r="M408" s="18"/>
      <c r="N408" s="15"/>
      <c r="O408" s="16"/>
      <c r="P408" s="15"/>
      <c r="Q408" s="11"/>
      <c r="R408" s="15"/>
      <c r="S408" s="15"/>
      <c r="T408" s="15"/>
      <c r="U408" s="15"/>
      <c r="V408" s="15"/>
      <c r="W408" s="15"/>
      <c r="X408" s="15"/>
      <c r="Y408" s="15"/>
    </row>
    <row r="409" spans="1:25" s="13" customFormat="1" x14ac:dyDescent="0.3">
      <c r="A409" s="39"/>
      <c r="B409" s="59"/>
      <c r="C409" s="15"/>
      <c r="D409" s="52"/>
      <c r="F409" s="15"/>
      <c r="H409" s="43"/>
      <c r="I409" s="43"/>
      <c r="J409" s="43"/>
      <c r="K409" s="43"/>
      <c r="L409" s="43"/>
      <c r="M409" s="18"/>
      <c r="N409" s="15"/>
      <c r="O409" s="16"/>
      <c r="P409" s="15"/>
      <c r="Q409" s="11"/>
      <c r="R409" s="15"/>
      <c r="S409" s="15"/>
      <c r="T409" s="15"/>
      <c r="U409" s="15"/>
      <c r="V409" s="15"/>
      <c r="W409" s="15"/>
      <c r="X409" s="15"/>
      <c r="Y409" s="15"/>
    </row>
    <row r="410" spans="1:25" s="13" customFormat="1" x14ac:dyDescent="0.3">
      <c r="A410" s="39"/>
      <c r="B410" s="59"/>
      <c r="C410" s="15"/>
      <c r="D410" s="52"/>
      <c r="F410" s="15"/>
      <c r="H410" s="43"/>
      <c r="I410" s="43"/>
      <c r="J410" s="43"/>
      <c r="K410" s="43"/>
      <c r="L410" s="43"/>
      <c r="M410" s="18"/>
      <c r="N410" s="15"/>
      <c r="O410" s="16"/>
      <c r="P410" s="15"/>
      <c r="Q410" s="11"/>
      <c r="R410" s="15"/>
      <c r="S410" s="15"/>
      <c r="T410" s="15"/>
      <c r="U410" s="15"/>
      <c r="V410" s="15"/>
      <c r="W410" s="15"/>
      <c r="X410" s="15"/>
      <c r="Y410" s="15"/>
    </row>
    <row r="411" spans="1:25" s="13" customFormat="1" x14ac:dyDescent="0.3">
      <c r="A411" s="39"/>
      <c r="B411" s="59"/>
      <c r="C411" s="15"/>
      <c r="D411" s="52"/>
      <c r="F411" s="15"/>
      <c r="H411" s="43"/>
      <c r="I411" s="43"/>
      <c r="J411" s="43"/>
      <c r="K411" s="43"/>
      <c r="L411" s="43"/>
      <c r="M411" s="18"/>
      <c r="N411" s="15"/>
      <c r="O411" s="16"/>
      <c r="P411" s="15"/>
      <c r="Q411" s="11"/>
      <c r="R411" s="15"/>
      <c r="S411" s="15"/>
      <c r="T411" s="15"/>
      <c r="U411" s="15"/>
      <c r="V411" s="15"/>
      <c r="W411" s="15"/>
      <c r="X411" s="15"/>
      <c r="Y411" s="15"/>
    </row>
    <row r="412" spans="1:25" s="13" customFormat="1" x14ac:dyDescent="0.3">
      <c r="A412" s="39"/>
      <c r="B412" s="59"/>
      <c r="C412" s="15"/>
      <c r="D412" s="52"/>
      <c r="F412" s="15"/>
      <c r="H412" s="43"/>
      <c r="I412" s="43"/>
      <c r="J412" s="43"/>
      <c r="K412" s="43"/>
      <c r="L412" s="43"/>
      <c r="M412" s="18"/>
      <c r="N412" s="15"/>
      <c r="O412" s="16"/>
      <c r="P412" s="15"/>
      <c r="Q412" s="11"/>
      <c r="R412" s="15"/>
      <c r="S412" s="15"/>
      <c r="T412" s="15"/>
      <c r="U412" s="15"/>
      <c r="V412" s="15"/>
      <c r="W412" s="15"/>
      <c r="X412" s="15"/>
      <c r="Y412" s="15"/>
    </row>
    <row r="413" spans="1:25" s="13" customFormat="1" x14ac:dyDescent="0.3">
      <c r="A413" s="39"/>
      <c r="B413" s="59"/>
      <c r="C413" s="15"/>
      <c r="D413" s="52"/>
      <c r="F413" s="15"/>
      <c r="H413" s="43"/>
      <c r="I413" s="43"/>
      <c r="J413" s="43"/>
      <c r="K413" s="43"/>
      <c r="L413" s="43"/>
      <c r="M413" s="18"/>
      <c r="N413" s="15"/>
      <c r="O413" s="16"/>
      <c r="P413" s="15"/>
      <c r="Q413" s="11"/>
      <c r="R413" s="15"/>
      <c r="S413" s="15"/>
      <c r="T413" s="15"/>
      <c r="U413" s="15"/>
      <c r="V413" s="15"/>
      <c r="W413" s="15"/>
      <c r="X413" s="15"/>
      <c r="Y413" s="15"/>
    </row>
    <row r="414" spans="1:25" s="13" customFormat="1" x14ac:dyDescent="0.3">
      <c r="A414" s="39"/>
      <c r="B414" s="106"/>
      <c r="C414" s="15"/>
      <c r="D414" s="52"/>
      <c r="F414" s="15"/>
      <c r="H414" s="43"/>
      <c r="I414" s="43"/>
      <c r="J414" s="43"/>
      <c r="K414" s="43"/>
      <c r="L414" s="43"/>
      <c r="M414" s="18"/>
      <c r="N414" s="15"/>
      <c r="O414" s="16"/>
      <c r="P414" s="15"/>
      <c r="Q414" s="11"/>
      <c r="R414" s="15"/>
      <c r="S414" s="15"/>
      <c r="T414" s="15"/>
      <c r="U414" s="15"/>
      <c r="V414" s="15"/>
      <c r="W414" s="15"/>
      <c r="X414" s="15"/>
      <c r="Y414" s="15"/>
    </row>
  </sheetData>
  <phoneticPr fontId="9" type="noConversion"/>
  <pageMargins left="0.31" right="0.31" top="0.75000000000000011" bottom="0.75000000000000011" header="0.31" footer="0.31"/>
  <pageSetup paperSize="9" scale="60" fitToHeight="6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5"/>
  <sheetViews>
    <sheetView workbookViewId="0">
      <pane xSplit="2" ySplit="1" topLeftCell="C2" activePane="bottomRight" state="frozen"/>
      <selection activeCell="M382" sqref="M382:Q383"/>
      <selection pane="topRight" activeCell="M382" sqref="M382:Q383"/>
      <selection pane="bottomLeft" activeCell="M382" sqref="M382:Q383"/>
      <selection pane="bottomRight" activeCell="K20" sqref="K20"/>
    </sheetView>
  </sheetViews>
  <sheetFormatPr defaultColWidth="8.7265625" defaultRowHeight="13" x14ac:dyDescent="0.35"/>
  <cols>
    <col min="1" max="1" width="30.453125" style="9" bestFit="1" customWidth="1"/>
    <col min="2" max="2" width="9.453125" style="9" customWidth="1"/>
    <col min="3" max="4" width="11.1796875" style="9" bestFit="1" customWidth="1"/>
    <col min="5" max="6" width="10.81640625" style="9" bestFit="1" customWidth="1"/>
    <col min="7" max="7" width="11.1796875" style="9" bestFit="1" customWidth="1"/>
    <col min="8" max="8" width="11.453125" style="9" bestFit="1" customWidth="1"/>
    <col min="9" max="10" width="11.1796875" style="9" bestFit="1" customWidth="1"/>
    <col min="11" max="11" width="10.36328125" style="9" bestFit="1" customWidth="1"/>
    <col min="12" max="12" width="10.54296875" style="9" bestFit="1" customWidth="1"/>
    <col min="13" max="13" width="10.36328125" style="9" bestFit="1" customWidth="1"/>
    <col min="14" max="15" width="10.54296875" style="9" bestFit="1" customWidth="1"/>
    <col min="16" max="16" width="11.453125" style="9" bestFit="1" customWidth="1"/>
    <col min="17" max="17" width="11.08984375" style="14" bestFit="1" customWidth="1"/>
    <col min="18" max="16384" width="8.7265625" style="9"/>
  </cols>
  <sheetData>
    <row r="1" spans="1:20" s="10" customFormat="1" x14ac:dyDescent="0.35">
      <c r="C1" s="66" t="s">
        <v>24</v>
      </c>
      <c r="D1" s="66" t="s">
        <v>25</v>
      </c>
      <c r="E1" s="66" t="s">
        <v>26</v>
      </c>
      <c r="F1" s="66" t="s">
        <v>27</v>
      </c>
      <c r="G1" s="66" t="s">
        <v>516</v>
      </c>
      <c r="H1" s="66" t="s">
        <v>28</v>
      </c>
      <c r="I1" s="66" t="s">
        <v>520</v>
      </c>
      <c r="J1" s="66" t="s">
        <v>521</v>
      </c>
      <c r="K1" s="66" t="s">
        <v>29</v>
      </c>
      <c r="L1" s="66" t="s">
        <v>30</v>
      </c>
      <c r="M1" s="66" t="s">
        <v>31</v>
      </c>
      <c r="N1" s="66" t="s">
        <v>32</v>
      </c>
      <c r="O1" s="66" t="s">
        <v>33</v>
      </c>
      <c r="P1" s="66" t="s">
        <v>34</v>
      </c>
      <c r="Q1" s="67" t="s">
        <v>35</v>
      </c>
    </row>
    <row r="2" spans="1:20" x14ac:dyDescent="0.3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/>
    </row>
    <row r="3" spans="1:20" x14ac:dyDescent="0.35">
      <c r="A3" s="9" t="s">
        <v>36</v>
      </c>
      <c r="C3" s="68"/>
      <c r="D3" s="71">
        <f>SUMIFS('CASH BOOK 2021'!$K:$K,'CASH BOOK 2021'!$B:$B,'CASHFLOW 2021'!D$1,'CASH BOOK 2021'!$D:$D,'CASHFLOW 2021'!$A3)</f>
        <v>3360</v>
      </c>
      <c r="E3" s="71">
        <f>SUMIFS('CASH BOOK 2021'!$K:$K,'CASH BOOK 2021'!$B:$B,'CASHFLOW 2021'!E$1,'CASH BOOK 2021'!$D:$D,'CASHFLOW 2021'!$A3)</f>
        <v>0</v>
      </c>
      <c r="F3" s="71">
        <f>SUMIFS('CASH BOOK 2021'!$K:$K,'CASH BOOK 2021'!$B:$B,'CASHFLOW 2021'!F$1,'CASH BOOK 2021'!$D:$D,'CASHFLOW 2021'!$A3)</f>
        <v>682.5</v>
      </c>
      <c r="G3" s="71">
        <f>SUMIFS('CASH BOOK 2021'!$K:$K,'CASH BOOK 2021'!$B:$B,'CASHFLOW 2021'!G$1,'CASH BOOK 2021'!$D:$D,'CASHFLOW 2021'!$A3)</f>
        <v>3320</v>
      </c>
      <c r="H3" s="71">
        <f>SUMIFS('CASH BOOK 2021'!$K:$K,'CASH BOOK 2021'!$B:$B,'CASHFLOW 2021'!H$1,'CASH BOOK 2021'!$D:$D,'CASHFLOW 2021'!$A3)</f>
        <v>0</v>
      </c>
      <c r="I3" s="71">
        <f>SUMIFS('CASH BOOK 2021'!$K:$K,'CASH BOOK 2021'!$B:$B,'CASHFLOW 2021'!I$1,'CASH BOOK 2021'!$D:$D,'CASHFLOW 2021'!$A3)</f>
        <v>0</v>
      </c>
      <c r="J3" s="71">
        <f>SUMIFS('CASH BOOK 2021'!$K:$K,'CASH BOOK 2021'!$B:$B,'CASHFLOW 2021'!J$1,'CASH BOOK 2021'!$D:$D,'CASHFLOW 2021'!$A3)</f>
        <v>0</v>
      </c>
      <c r="K3" s="71">
        <f>SUMIFS('CASH BOOK 2021'!$K:$K,'CASH BOOK 2021'!$B:$B,'CASHFLOW 2021'!K$1,'CASH BOOK 2021'!$D:$D,'CASHFLOW 2021'!$A3)</f>
        <v>4792.6000000000004</v>
      </c>
      <c r="L3" s="71">
        <f>SUMIFS('CASH BOOK 2021'!$K:$K,'CASH BOOK 2021'!$B:$B,'CASHFLOW 2021'!L$1,'CASH BOOK 2021'!$D:$D,'CASHFLOW 2021'!$A3)</f>
        <v>428.88</v>
      </c>
      <c r="M3" s="71">
        <f>SUMIFS('CASH BOOK 2021'!$K:$K,'CASH BOOK 2021'!$B:$B,'CASHFLOW 2021'!M$1,'CASH BOOK 2021'!$D:$D,'CASHFLOW 2021'!$A3)</f>
        <v>836.5</v>
      </c>
      <c r="N3" s="71">
        <f>SUMIFS('CASH BOOK 2021'!$K:$K,'CASH BOOK 2021'!$B:$B,'CASHFLOW 2021'!N$1,'CASH BOOK 2021'!$D:$D,'CASHFLOW 2021'!$A3)</f>
        <v>184.63</v>
      </c>
      <c r="O3" s="71">
        <f>SUMIFS('CASH BOOK 2021'!$K:$K,'CASH BOOK 2021'!$B:$B,'CASHFLOW 2021'!O$1,'CASH BOOK 2021'!$D:$D,'CASHFLOW 2021'!$A3)</f>
        <v>81</v>
      </c>
      <c r="P3" s="92">
        <f t="shared" ref="P3:P9" si="0">SUM(D3:O3)</f>
        <v>13686.109999999999</v>
      </c>
      <c r="Q3" s="70">
        <v>12790</v>
      </c>
    </row>
    <row r="4" spans="1:20" ht="15.5" x14ac:dyDescent="0.35">
      <c r="A4" s="9" t="s">
        <v>37</v>
      </c>
      <c r="C4" s="68"/>
      <c r="D4" s="71">
        <f>SUMIFS('CASH BOOK 2021'!$K:$K,'CASH BOOK 2021'!$B:$B,'CASHFLOW 2021'!D$1,'CASH BOOK 2021'!$D:$D,'CASHFLOW 2021'!$A4)</f>
        <v>0</v>
      </c>
      <c r="E4" s="71">
        <f>SUMIFS('CASH BOOK 2021'!$K:$K,'CASH BOOK 2021'!$B:$B,'CASHFLOW 2021'!E$1,'CASH BOOK 2021'!$D:$D,'CASHFLOW 2021'!$A4)</f>
        <v>100</v>
      </c>
      <c r="F4" s="71">
        <f>SUMIFS('CASH BOOK 2021'!$K:$K,'CASH BOOK 2021'!$B:$B,'CASHFLOW 2021'!F$1,'CASH BOOK 2021'!$D:$D,'CASHFLOW 2021'!$A4)</f>
        <v>0</v>
      </c>
      <c r="G4" s="71">
        <f>SUMIFS('CASH BOOK 2021'!$K:$K,'CASH BOOK 2021'!$B:$B,'CASHFLOW 2021'!G$1,'CASH BOOK 2021'!$D:$D,'CASHFLOW 2021'!$A4)</f>
        <v>290</v>
      </c>
      <c r="H4" s="71">
        <f>SUMIFS('CASH BOOK 2021'!$K:$K,'CASH BOOK 2021'!$B:$B,'CASHFLOW 2021'!H$1,'CASH BOOK 2021'!$D:$D,'CASHFLOW 2021'!$A4)</f>
        <v>0</v>
      </c>
      <c r="I4" s="71">
        <f>SUMIFS('CASH BOOK 2021'!$K:$K,'CASH BOOK 2021'!$B:$B,'CASHFLOW 2021'!I$1,'CASH BOOK 2021'!$D:$D,'CASHFLOW 2021'!$A4)</f>
        <v>225</v>
      </c>
      <c r="J4" s="71">
        <f>SUMIFS('CASH BOOK 2021'!$K:$K,'CASH BOOK 2021'!$B:$B,'CASHFLOW 2021'!J$1,'CASH BOOK 2021'!$D:$D,'CASHFLOW 2021'!$A4)</f>
        <v>375</v>
      </c>
      <c r="K4" s="71">
        <f>SUMIFS('CASH BOOK 2021'!$K:$K,'CASH BOOK 2021'!$B:$B,'CASHFLOW 2021'!K$1,'CASH BOOK 2021'!$D:$D,'CASHFLOW 2021'!$A4)</f>
        <v>1234</v>
      </c>
      <c r="L4" s="71">
        <f>SUMIFS('CASH BOOK 2021'!$K:$K,'CASH BOOK 2021'!$B:$B,'CASHFLOW 2021'!L$1,'CASH BOOK 2021'!$D:$D,'CASHFLOW 2021'!$A4)</f>
        <v>830</v>
      </c>
      <c r="M4" s="71">
        <f>SUMIFS('CASH BOOK 2021'!$K:$K,'CASH BOOK 2021'!$B:$B,'CASHFLOW 2021'!M$1,'CASH BOOK 2021'!$D:$D,'CASHFLOW 2021'!$A4)</f>
        <v>623</v>
      </c>
      <c r="N4" s="71">
        <f>SUMIFS('CASH BOOK 2021'!$K:$K,'CASH BOOK 2021'!$B:$B,'CASHFLOW 2021'!N$1,'CASH BOOK 2021'!$D:$D,'CASHFLOW 2021'!$A4)</f>
        <v>715</v>
      </c>
      <c r="O4" s="71">
        <f>SUMIFS('CASH BOOK 2021'!$K:$K,'CASH BOOK 2021'!$B:$B,'CASHFLOW 2021'!O$1,'CASH BOOK 2021'!$D:$D,'CASHFLOW 2021'!$A4)</f>
        <v>230</v>
      </c>
      <c r="P4" s="69">
        <f t="shared" si="0"/>
        <v>4622</v>
      </c>
      <c r="Q4" s="70">
        <v>900</v>
      </c>
      <c r="T4" s="247"/>
    </row>
    <row r="5" spans="1:20" ht="15.5" x14ac:dyDescent="0.35">
      <c r="A5" s="9" t="s">
        <v>622</v>
      </c>
      <c r="C5" s="68"/>
      <c r="D5" s="71">
        <f>SUMIFS('CASH BOOK 2021'!$K:$K,'CASH BOOK 2021'!$B:$B,'CASHFLOW 2021'!D$1,'CASH BOOK 2021'!$D:$D,'CASHFLOW 2021'!$A5)</f>
        <v>0</v>
      </c>
      <c r="E5" s="71">
        <f>SUMIFS('CASH BOOK 2021'!$K:$K,'CASH BOOK 2021'!$B:$B,'CASHFLOW 2021'!E$1,'CASH BOOK 2021'!$D:$D,'CASHFLOW 2021'!$A5)</f>
        <v>0</v>
      </c>
      <c r="F5" s="71">
        <f>SUMIFS('CASH BOOK 2021'!$K:$K,'CASH BOOK 2021'!$B:$B,'CASHFLOW 2021'!F$1,'CASH BOOK 2021'!$D:$D,'CASHFLOW 2021'!$A5)</f>
        <v>0</v>
      </c>
      <c r="G5" s="71">
        <f>SUMIFS('CASH BOOK 2021'!$K:$K,'CASH BOOK 2021'!$B:$B,'CASHFLOW 2021'!G$1,'CASH BOOK 2021'!$D:$D,'CASHFLOW 2021'!$A5)</f>
        <v>0</v>
      </c>
      <c r="H5" s="71">
        <f>SUMIFS('CASH BOOK 2021'!$K:$K,'CASH BOOK 2021'!$B:$B,'CASHFLOW 2021'!H$1,'CASH BOOK 2021'!$D:$D,'CASHFLOW 2021'!$A5)</f>
        <v>0</v>
      </c>
      <c r="I5" s="71">
        <f>SUMIFS('CASH BOOK 2021'!$K:$K,'CASH BOOK 2021'!$B:$B,'CASHFLOW 2021'!I$1,'CASH BOOK 2021'!$D:$D,'CASHFLOW 2021'!$A5)</f>
        <v>0</v>
      </c>
      <c r="J5" s="71">
        <f>SUMIFS('CASH BOOK 2021'!$K:$K,'CASH BOOK 2021'!$B:$B,'CASHFLOW 2021'!J$1,'CASH BOOK 2021'!$D:$D,'CASHFLOW 2021'!$A5)</f>
        <v>0</v>
      </c>
      <c r="K5" s="71">
        <f>SUMIFS('CASH BOOK 2021'!$K:$K,'CASH BOOK 2021'!$B:$B,'CASHFLOW 2021'!K$1,'CASH BOOK 2021'!$D:$D,'CASHFLOW 2021'!$A5)</f>
        <v>0</v>
      </c>
      <c r="L5" s="71">
        <f>SUMIFS('CASH BOOK 2021'!$K:$K,'CASH BOOK 2021'!$B:$B,'CASHFLOW 2021'!L$1,'CASH BOOK 2021'!$D:$D,'CASHFLOW 2021'!$A5)</f>
        <v>0</v>
      </c>
      <c r="M5" s="71">
        <f>SUMIFS('CASH BOOK 2021'!$K:$K,'CASH BOOK 2021'!$B:$B,'CASHFLOW 2021'!M$1,'CASH BOOK 2021'!$D:$D,'CASHFLOW 2021'!$A5)</f>
        <v>0</v>
      </c>
      <c r="N5" s="71">
        <f>SUMIFS('CASH BOOK 2021'!$K:$K,'CASH BOOK 2021'!$B:$B,'CASHFLOW 2021'!N$1,'CASH BOOK 2021'!$D:$D,'CASHFLOW 2021'!$A5)</f>
        <v>0</v>
      </c>
      <c r="O5" s="71">
        <f>SUMIFS('CASH BOOK 2021'!$K:$K,'CASH BOOK 2021'!$B:$B,'CASHFLOW 2021'!O$1,'CASH BOOK 2021'!$D:$D,'CASHFLOW 2021'!$A5)</f>
        <v>0</v>
      </c>
      <c r="P5" s="69">
        <f t="shared" si="0"/>
        <v>0</v>
      </c>
      <c r="Q5" s="70">
        <v>100</v>
      </c>
      <c r="T5" s="247"/>
    </row>
    <row r="6" spans="1:20" ht="15.5" x14ac:dyDescent="0.35">
      <c r="A6" s="7" t="s">
        <v>317</v>
      </c>
      <c r="C6" s="68"/>
      <c r="D6" s="71">
        <f>SUMIFS('CASH BOOK 2021'!$K:$K,'CASH BOOK 2021'!$B:$B,'CASHFLOW 2021'!D$1,'CASH BOOK 2021'!$D:$D,'CASHFLOW 2021'!$A6)</f>
        <v>0</v>
      </c>
      <c r="E6" s="71">
        <f>SUMIFS('CASH BOOK 2021'!$K:$K,'CASH BOOK 2021'!$B:$B,'CASHFLOW 2021'!E$1,'CASH BOOK 2021'!$D:$D,'CASHFLOW 2021'!$A6)</f>
        <v>0</v>
      </c>
      <c r="F6" s="71">
        <f>SUMIFS('CASH BOOK 2021'!$K:$K,'CASH BOOK 2021'!$B:$B,'CASHFLOW 2021'!F$1,'CASH BOOK 2021'!$D:$D,'CASHFLOW 2021'!$A6)</f>
        <v>0</v>
      </c>
      <c r="G6" s="71">
        <f>SUMIFS('CASH BOOK 2021'!$K:$K,'CASH BOOK 2021'!$B:$B,'CASHFLOW 2021'!G$1,'CASH BOOK 2021'!$D:$D,'CASHFLOW 2021'!$A6)</f>
        <v>0</v>
      </c>
      <c r="H6" s="71">
        <f>SUMIFS('CASH BOOK 2021'!$K:$K,'CASH BOOK 2021'!$B:$B,'CASHFLOW 2021'!H$1,'CASH BOOK 2021'!$D:$D,'CASHFLOW 2021'!$A6)</f>
        <v>0</v>
      </c>
      <c r="I6" s="71">
        <f>SUMIFS('CASH BOOK 2021'!$K:$K,'CASH BOOK 2021'!$B:$B,'CASHFLOW 2021'!I$1,'CASH BOOK 2021'!$D:$D,'CASHFLOW 2021'!$A6)</f>
        <v>0</v>
      </c>
      <c r="J6" s="71">
        <f>SUMIFS('CASH BOOK 2021'!$K:$K,'CASH BOOK 2021'!$B:$B,'CASHFLOW 2021'!J$1,'CASH BOOK 2021'!$D:$D,'CASHFLOW 2021'!$A6)</f>
        <v>0</v>
      </c>
      <c r="K6" s="71">
        <f>SUMIFS('CASH BOOK 2021'!$K:$K,'CASH BOOK 2021'!$B:$B,'CASHFLOW 2021'!K$1,'CASH BOOK 2021'!$D:$D,'CASHFLOW 2021'!$A6)</f>
        <v>0</v>
      </c>
      <c r="L6" s="71">
        <f>SUMIFS('CASH BOOK 2021'!$K:$K,'CASH BOOK 2021'!$B:$B,'CASHFLOW 2021'!L$1,'CASH BOOK 2021'!$D:$D,'CASHFLOW 2021'!$A6)</f>
        <v>0</v>
      </c>
      <c r="M6" s="71">
        <f>SUMIFS('CASH BOOK 2021'!$K:$K,'CASH BOOK 2021'!$B:$B,'CASHFLOW 2021'!M$1,'CASH BOOK 2021'!$D:$D,'CASHFLOW 2021'!$A6)</f>
        <v>0</v>
      </c>
      <c r="N6" s="71">
        <f>SUMIFS('CASH BOOK 2021'!$K:$K,'CASH BOOK 2021'!$B:$B,'CASHFLOW 2021'!N$1,'CASH BOOK 2021'!$D:$D,'CASHFLOW 2021'!$A6)</f>
        <v>0</v>
      </c>
      <c r="O6" s="71">
        <f>SUMIFS('CASH BOOK 2021'!$K:$K,'CASH BOOK 2021'!$B:$B,'CASHFLOW 2021'!O$1,'CASH BOOK 2021'!$D:$D,'CASHFLOW 2021'!$A6)</f>
        <v>0</v>
      </c>
      <c r="P6" s="69">
        <f t="shared" si="0"/>
        <v>0</v>
      </c>
      <c r="Q6" s="70"/>
      <c r="T6" s="247"/>
    </row>
    <row r="7" spans="1:20" ht="15.5" x14ac:dyDescent="0.35">
      <c r="A7" s="7" t="s">
        <v>1405</v>
      </c>
      <c r="C7" s="68"/>
      <c r="D7" s="71">
        <f>SUMIFS('CASH BOOK 2021'!$K:$K,'CASH BOOK 2021'!$B:$B,'CASHFLOW 2021'!D$1,'CASH BOOK 2021'!$D:$D,'CASHFLOW 2021'!$A7)</f>
        <v>0</v>
      </c>
      <c r="E7" s="71">
        <f>SUMIFS('CASH BOOK 2021'!$K:$K,'CASH BOOK 2021'!$B:$B,'CASHFLOW 2021'!E$1,'CASH BOOK 2021'!$D:$D,'CASHFLOW 2021'!$A7)</f>
        <v>0</v>
      </c>
      <c r="F7" s="71">
        <f>SUMIFS('CASH BOOK 2021'!$K:$K,'CASH BOOK 2021'!$B:$B,'CASHFLOW 2021'!F$1,'CASH BOOK 2021'!$D:$D,'CASHFLOW 2021'!$A7)</f>
        <v>0</v>
      </c>
      <c r="G7" s="71">
        <f>SUMIFS('CASH BOOK 2021'!$K:$K,'CASH BOOK 2021'!$B:$B,'CASHFLOW 2021'!G$1,'CASH BOOK 2021'!$D:$D,'CASHFLOW 2021'!$A7)</f>
        <v>0</v>
      </c>
      <c r="H7" s="71">
        <f>SUMIFS('CASH BOOK 2021'!$K:$K,'CASH BOOK 2021'!$B:$B,'CASHFLOW 2021'!H$1,'CASH BOOK 2021'!$D:$D,'CASHFLOW 2021'!$A7)</f>
        <v>0</v>
      </c>
      <c r="I7" s="71">
        <f>SUMIFS('CASH BOOK 2021'!$K:$K,'CASH BOOK 2021'!$B:$B,'CASHFLOW 2021'!I$1,'CASH BOOK 2021'!$D:$D,'CASHFLOW 2021'!$A7)</f>
        <v>0</v>
      </c>
      <c r="J7" s="71">
        <f>SUMIFS('CASH BOOK 2021'!$K:$K,'CASH BOOK 2021'!$B:$B,'CASHFLOW 2021'!J$1,'CASH BOOK 2021'!$D:$D,'CASHFLOW 2021'!$A7)</f>
        <v>0</v>
      </c>
      <c r="K7" s="71">
        <f>SUMIFS('CASH BOOK 2021'!$K:$K,'CASH BOOK 2021'!$B:$B,'CASHFLOW 2021'!K$1,'CASH BOOK 2021'!$D:$D,'CASHFLOW 2021'!$A7)</f>
        <v>0</v>
      </c>
      <c r="L7" s="71">
        <f>SUMIFS('CASH BOOK 2021'!$K:$K,'CASH BOOK 2021'!$B:$B,'CASHFLOW 2021'!L$1,'CASH BOOK 2021'!$D:$D,'CASHFLOW 2021'!$A7)</f>
        <v>0</v>
      </c>
      <c r="M7" s="71">
        <f>SUMIFS('CASH BOOK 2021'!$K:$K,'CASH BOOK 2021'!$B:$B,'CASHFLOW 2021'!M$1,'CASH BOOK 2021'!$D:$D,'CASHFLOW 2021'!$A7)</f>
        <v>0</v>
      </c>
      <c r="N7" s="71">
        <f>SUMIFS('CASH BOOK 2021'!$K:$K,'CASH BOOK 2021'!$B:$B,'CASHFLOW 2021'!N$1,'CASH BOOK 2021'!$D:$D,'CASHFLOW 2021'!$A7)</f>
        <v>0</v>
      </c>
      <c r="O7" s="71">
        <f>SUMIFS('CASH BOOK 2021'!$K:$K,'CASH BOOK 2021'!$B:$B,'CASHFLOW 2021'!O$1,'CASH BOOK 2021'!$D:$D,'CASHFLOW 2021'!$A7)</f>
        <v>0</v>
      </c>
      <c r="P7" s="69">
        <f t="shared" si="0"/>
        <v>0</v>
      </c>
      <c r="Q7" s="70"/>
      <c r="T7" s="247"/>
    </row>
    <row r="8" spans="1:20" ht="15.5" x14ac:dyDescent="0.35">
      <c r="A8" s="9" t="s">
        <v>4</v>
      </c>
      <c r="C8" s="68"/>
      <c r="D8" s="71">
        <f>SUMIFS('CASH BOOK 2021'!$K:$K,'CASH BOOK 2021'!$B:$B,'CASHFLOW 2021'!D$1,'CASH BOOK 2021'!$D:$D,'CASHFLOW 2021'!$A8)</f>
        <v>0</v>
      </c>
      <c r="E8" s="71">
        <f>SUMIFS('CASH BOOK 2021'!$K:$K,'CASH BOOK 2021'!$B:$B,'CASHFLOW 2021'!E$1,'CASH BOOK 2021'!$D:$D,'CASHFLOW 2021'!$A8)</f>
        <v>0</v>
      </c>
      <c r="F8" s="71">
        <f>SUMIFS('CASH BOOK 2021'!$K:$K,'CASH BOOK 2021'!$B:$B,'CASHFLOW 2021'!F$1,'CASH BOOK 2021'!$D:$D,'CASHFLOW 2021'!$A8)</f>
        <v>0</v>
      </c>
      <c r="G8" s="71"/>
      <c r="H8" s="71">
        <f>SUMIFS('CASH BOOK 2021'!$K:$K,'CASH BOOK 2021'!$B:$B,'CASHFLOW 2021'!H$1,'CASH BOOK 2021'!$D:$D,'CASHFLOW 2021'!$A8)</f>
        <v>0</v>
      </c>
      <c r="I8" s="71">
        <f>SUMIFS('CASH BOOK 2021'!$K:$K,'CASH BOOK 2021'!$B:$B,'CASHFLOW 2021'!I$1,'CASH BOOK 2021'!$D:$D,'CASHFLOW 2021'!$A8)</f>
        <v>0</v>
      </c>
      <c r="J8" s="71">
        <f>SUMIFS('CASH BOOK 2021'!$K:$K,'CASH BOOK 2021'!$B:$B,'CASHFLOW 2021'!J$1,'CASH BOOK 2021'!$D:$D,'CASHFLOW 2021'!$A8)</f>
        <v>0</v>
      </c>
      <c r="K8" s="71">
        <f>SUMIFS('CASH BOOK 2021'!$K:$K,'CASH BOOK 2021'!$B:$B,'CASHFLOW 2021'!K$1,'CASH BOOK 2021'!$D:$D,'CASHFLOW 2021'!$A8)</f>
        <v>0</v>
      </c>
      <c r="L8" s="71">
        <f>SUMIFS('CASH BOOK 2021'!$K:$K,'CASH BOOK 2021'!$B:$B,'CASHFLOW 2021'!L$1,'CASH BOOK 2021'!$D:$D,'CASHFLOW 2021'!$A8)</f>
        <v>0</v>
      </c>
      <c r="M8" s="71">
        <f>SUMIFS('CASH BOOK 2021'!$K:$K,'CASH BOOK 2021'!$B:$B,'CASHFLOW 2021'!M$1,'CASH BOOK 2021'!$D:$D,'CASHFLOW 2021'!$A8)</f>
        <v>0</v>
      </c>
      <c r="N8" s="71">
        <f>SUMIFS('CASH BOOK 2021'!$K:$K,'CASH BOOK 2021'!$B:$B,'CASHFLOW 2021'!N$1,'CASH BOOK 2021'!$D:$D,'CASHFLOW 2021'!$A8)</f>
        <v>0</v>
      </c>
      <c r="O8" s="71">
        <f>SUMIFS('CASH BOOK 2021'!$K:$K,'CASH BOOK 2021'!$B:$B,'CASHFLOW 2021'!O$1,'CASH BOOK 2021'!$D:$D,'CASHFLOW 2021'!$A8)</f>
        <v>0</v>
      </c>
      <c r="P8" s="92">
        <f t="shared" si="0"/>
        <v>0</v>
      </c>
      <c r="Q8" s="70">
        <v>150</v>
      </c>
      <c r="T8" s="247"/>
    </row>
    <row r="9" spans="1:20" ht="15.5" x14ac:dyDescent="0.35">
      <c r="A9" s="9" t="s">
        <v>38</v>
      </c>
      <c r="C9" s="68"/>
      <c r="D9" s="71">
        <f>SUMIFS('CASH BOOK 2021'!$K:$K,'CASH BOOK 2021'!$B:$B,'CASHFLOW 2021'!D$1,'CASH BOOK 2021'!$D:$D,'CASHFLOW 2021'!$A9)</f>
        <v>0</v>
      </c>
      <c r="E9" s="71">
        <f>SUMIFS('CASH BOOK 2021'!$K:$K,'CASH BOOK 2021'!$B:$B,'CASHFLOW 2021'!E$1,'CASH BOOK 2021'!$D:$D,'CASHFLOW 2021'!$A9)</f>
        <v>0</v>
      </c>
      <c r="F9" s="71">
        <f>SUMIFS('CASH BOOK 2021'!$K:$K,'CASH BOOK 2021'!$B:$B,'CASHFLOW 2021'!F$1,'CASH BOOK 2021'!$D:$D,'CASHFLOW 2021'!$A9)</f>
        <v>0</v>
      </c>
      <c r="G9" s="71">
        <f>SUMIFS('CASH BOOK 2021'!$K:$K,'CASH BOOK 2021'!$B:$B,'CASHFLOW 2021'!G$1,'CASH BOOK 2021'!$D:$D,'CASHFLOW 2021'!$A9)</f>
        <v>0</v>
      </c>
      <c r="H9" s="71">
        <f>SUMIFS('CASH BOOK 2021'!$K:$K,'CASH BOOK 2021'!$B:$B,'CASHFLOW 2021'!H$1,'CASH BOOK 2021'!$D:$D,'CASHFLOW 2021'!$A9)</f>
        <v>0</v>
      </c>
      <c r="I9" s="71">
        <f>SUMIFS('CASH BOOK 2021'!$K:$K,'CASH BOOK 2021'!$B:$B,'CASHFLOW 2021'!I$1,'CASH BOOK 2021'!$D:$D,'CASHFLOW 2021'!$A9)</f>
        <v>0</v>
      </c>
      <c r="J9" s="71">
        <f>SUMIFS('CASH BOOK 2021'!$K:$K,'CASH BOOK 2021'!$B:$B,'CASHFLOW 2021'!J$1,'CASH BOOK 2021'!$D:$D,'CASHFLOW 2021'!$A9)</f>
        <v>0</v>
      </c>
      <c r="K9" s="71">
        <f>SUMIFS('CASH BOOK 2021'!$K:$K,'CASH BOOK 2021'!$B:$B,'CASHFLOW 2021'!K$1,'CASH BOOK 2021'!$D:$D,'CASHFLOW 2021'!$A9)</f>
        <v>0</v>
      </c>
      <c r="L9" s="71">
        <f>SUMIFS('CASH BOOK 2021'!$K:$K,'CASH BOOK 2021'!$B:$B,'CASHFLOW 2021'!L$1,'CASH BOOK 2021'!$D:$D,'CASHFLOW 2021'!$A9)</f>
        <v>0</v>
      </c>
      <c r="M9" s="71">
        <f>SUMIFS('CASH BOOK 2021'!$K:$K,'CASH BOOK 2021'!$B:$B,'CASHFLOW 2021'!M$1,'CASH BOOK 2021'!$D:$D,'CASHFLOW 2021'!$A9)</f>
        <v>0</v>
      </c>
      <c r="N9" s="71">
        <f>SUMIFS('CASH BOOK 2021'!$K:$K,'CASH BOOK 2021'!$B:$B,'CASHFLOW 2021'!N$1,'CASH BOOK 2021'!$D:$D,'CASHFLOW 2021'!$A9)</f>
        <v>0</v>
      </c>
      <c r="O9" s="71">
        <f>SUMIFS('CASH BOOK 2021'!$K:$K,'CASH BOOK 2021'!$B:$B,'CASHFLOW 2021'!O$1,'CASH BOOK 2021'!$D:$D,'CASHFLOW 2021'!$A9)</f>
        <v>0</v>
      </c>
      <c r="P9" s="69">
        <f t="shared" si="0"/>
        <v>0</v>
      </c>
      <c r="Q9" s="70">
        <v>0</v>
      </c>
      <c r="T9" s="247"/>
    </row>
    <row r="10" spans="1:20" ht="15.5" x14ac:dyDescent="0.35">
      <c r="A10" s="9" t="s">
        <v>5</v>
      </c>
      <c r="C10" s="68"/>
      <c r="D10" s="71">
        <f>SUMIFS('CASH BOOK 2021'!$K:$K,'CASH BOOK 2021'!$B:$B,'CASHFLOW 2021'!D$1,'CASH BOOK 2021'!$D:$D,'CASHFLOW 2021'!$A10)</f>
        <v>0</v>
      </c>
      <c r="E10" s="71">
        <f>SUMIFS('CASH BOOK 2021'!$K:$K,'CASH BOOK 2021'!$B:$B,'CASHFLOW 2021'!E$1,'CASH BOOK 2021'!$D:$D,'CASHFLOW 2021'!$A10)</f>
        <v>0</v>
      </c>
      <c r="F10" s="71">
        <f>SUMIFS('CASH BOOK 2021'!$K:$K,'CASH BOOK 2021'!$B:$B,'CASHFLOW 2021'!F$1,'CASH BOOK 2021'!$D:$D,'CASHFLOW 2021'!$A10)</f>
        <v>0</v>
      </c>
      <c r="G10" s="71">
        <f>SUMIFS('CASH BOOK 2021'!$K:$K,'CASH BOOK 2021'!$B:$B,'CASHFLOW 2021'!G$1,'CASH BOOK 2021'!$D:$D,'CASHFLOW 2021'!$A10)</f>
        <v>0</v>
      </c>
      <c r="H10" s="71">
        <f>SUMIFS('CASH BOOK 2021'!$K:$K,'CASH BOOK 2021'!$B:$B,'CASHFLOW 2021'!H$1,'CASH BOOK 2021'!$D:$D,'CASHFLOW 2021'!$A10)</f>
        <v>0</v>
      </c>
      <c r="I10" s="71">
        <f>SUMIFS('CASH BOOK 2021'!$K:$K,'CASH BOOK 2021'!$B:$B,'CASHFLOW 2021'!I$1,'CASH BOOK 2021'!$D:$D,'CASHFLOW 2021'!$A10)</f>
        <v>0</v>
      </c>
      <c r="J10" s="71">
        <f>SUMIFS('CASH BOOK 2021'!$K:$K,'CASH BOOK 2021'!$B:$B,'CASHFLOW 2021'!J$1,'CASH BOOK 2021'!$D:$D,'CASHFLOW 2021'!$A10)</f>
        <v>0</v>
      </c>
      <c r="K10" s="71">
        <f>SUMIFS('CASH BOOK 2021'!$K:$K,'CASH BOOK 2021'!$B:$B,'CASHFLOW 2021'!K$1,'CASH BOOK 2021'!$D:$D,'CASHFLOW 2021'!$A10)</f>
        <v>0</v>
      </c>
      <c r="L10" s="71">
        <f>SUMIFS('CASH BOOK 2021'!$K:$K,'CASH BOOK 2021'!$B:$B,'CASHFLOW 2021'!L$1,'CASH BOOK 2021'!$D:$D,'CASHFLOW 2021'!$A10)</f>
        <v>0</v>
      </c>
      <c r="M10" s="71">
        <f>SUMIFS('CASH BOOK 2021'!$K:$K,'CASH BOOK 2021'!$B:$B,'CASHFLOW 2021'!M$1,'CASH BOOK 2021'!$D:$D,'CASHFLOW 2021'!$A10)</f>
        <v>0</v>
      </c>
      <c r="N10" s="71">
        <f>SUMIFS('CASH BOOK 2021'!$K:$K,'CASH BOOK 2021'!$B:$B,'CASHFLOW 2021'!N$1,'CASH BOOK 2021'!$D:$D,'CASHFLOW 2021'!$A10)</f>
        <v>0</v>
      </c>
      <c r="O10" s="71">
        <f>SUMIFS('CASH BOOK 2021'!$K:$K,'CASH BOOK 2021'!$B:$B,'CASHFLOW 2021'!O$1,'CASH BOOK 2021'!$D:$D,'CASHFLOW 2021'!$A10)</f>
        <v>0</v>
      </c>
      <c r="P10" s="69">
        <f>SUM(D10:O10)</f>
        <v>0</v>
      </c>
      <c r="Q10" s="70"/>
      <c r="T10" s="247"/>
    </row>
    <row r="11" spans="1:20" ht="15.5" x14ac:dyDescent="0.35">
      <c r="T11" s="247"/>
    </row>
    <row r="12" spans="1:20" ht="15.5" x14ac:dyDescent="0.35">
      <c r="C12" s="68"/>
      <c r="D12" s="72">
        <f t="shared" ref="D12:Q12" si="1">SUM(D3:D10)</f>
        <v>3360</v>
      </c>
      <c r="E12" s="72">
        <f t="shared" si="1"/>
        <v>100</v>
      </c>
      <c r="F12" s="72">
        <f t="shared" si="1"/>
        <v>682.5</v>
      </c>
      <c r="G12" s="72">
        <f t="shared" si="1"/>
        <v>3610</v>
      </c>
      <c r="H12" s="72">
        <f t="shared" si="1"/>
        <v>0</v>
      </c>
      <c r="I12" s="72">
        <f t="shared" si="1"/>
        <v>225</v>
      </c>
      <c r="J12" s="72">
        <f t="shared" si="1"/>
        <v>375</v>
      </c>
      <c r="K12" s="72">
        <f t="shared" si="1"/>
        <v>6026.6</v>
      </c>
      <c r="L12" s="72">
        <f t="shared" si="1"/>
        <v>1258.8800000000001</v>
      </c>
      <c r="M12" s="72">
        <f t="shared" si="1"/>
        <v>1459.5</v>
      </c>
      <c r="N12" s="72">
        <f t="shared" si="1"/>
        <v>899.63</v>
      </c>
      <c r="O12" s="72">
        <f t="shared" si="1"/>
        <v>311</v>
      </c>
      <c r="P12" s="72">
        <f t="shared" si="1"/>
        <v>18308.11</v>
      </c>
      <c r="Q12" s="73">
        <f t="shared" si="1"/>
        <v>13940</v>
      </c>
      <c r="T12" s="247"/>
    </row>
    <row r="13" spans="1:20" ht="15.5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  <c r="T13" s="247"/>
    </row>
    <row r="14" spans="1:20" ht="15.5" x14ac:dyDescent="0.35">
      <c r="A14" s="9" t="s">
        <v>40</v>
      </c>
      <c r="C14" s="68"/>
      <c r="D14" s="71">
        <f>SUMIFS('CASH BOOK 2021'!$K:$K,'CASH BOOK 2021'!$B:$B,'CASHFLOW 2021'!D$1,'CASH BOOK 2021'!$D:$D,'CASHFLOW 2021'!$A14)</f>
        <v>0</v>
      </c>
      <c r="E14" s="71">
        <f>SUMIFS('CASH BOOK 2021'!$K:$K,'CASH BOOK 2021'!$B:$B,'CASHFLOW 2021'!E$1,'CASH BOOK 2021'!$D:$D,'CASHFLOW 2021'!$A14)</f>
        <v>0</v>
      </c>
      <c r="F14" s="71">
        <f>SUMIFS('CASH BOOK 2021'!$K:$K,'CASH BOOK 2021'!$B:$B,'CASHFLOW 2021'!F$1,'CASH BOOK 2021'!$D:$D,'CASHFLOW 2021'!$A14)</f>
        <v>-222</v>
      </c>
      <c r="G14" s="71">
        <f>SUMIFS('CASH BOOK 2021'!$K:$K,'CASH BOOK 2021'!$B:$B,'CASHFLOW 2021'!G$1,'CASH BOOK 2021'!$D:$D,'CASHFLOW 2021'!$A14)</f>
        <v>-580</v>
      </c>
      <c r="H14" s="71">
        <f>SUMIFS('CASH BOOK 2021'!$K:$K,'CASH BOOK 2021'!$B:$B,'CASHFLOW 2021'!H$1,'CASH BOOK 2021'!$D:$D,'CASHFLOW 2021'!$A14)</f>
        <v>-344.94</v>
      </c>
      <c r="I14" s="71">
        <f>SUMIFS('CASH BOOK 2021'!$K:$K,'CASH BOOK 2021'!$B:$B,'CASHFLOW 2021'!I$1,'CASH BOOK 2021'!$D:$D,'CASHFLOW 2021'!$A14)</f>
        <v>-1232</v>
      </c>
      <c r="J14" s="71">
        <f>SUMIFS('CASH BOOK 2021'!$K:$K,'CASH BOOK 2021'!$B:$B,'CASHFLOW 2021'!J$1,'CASH BOOK 2021'!$D:$D,'CASHFLOW 2021'!$A14)</f>
        <v>-12</v>
      </c>
      <c r="K14" s="71">
        <f>SUMIFS('CASH BOOK 2021'!$K:$K,'CASH BOOK 2021'!$B:$B,'CASHFLOW 2021'!K$1,'CASH BOOK 2021'!$D:$D,'CASHFLOW 2021'!$A14)</f>
        <v>-1247.9000000000001</v>
      </c>
      <c r="L14" s="71">
        <f>SUMIFS('CASH BOOK 2021'!$K:$K,'CASH BOOK 2021'!$B:$B,'CASHFLOW 2021'!L$1,'CASH BOOK 2021'!$D:$D,'CASHFLOW 2021'!$A14)</f>
        <v>-179.9</v>
      </c>
      <c r="M14" s="71">
        <f>SUMIFS('CASH BOOK 2021'!$K:$K,'CASH BOOK 2021'!$B:$B,'CASHFLOW 2021'!M$1,'CASH BOOK 2021'!$D:$D,'CASHFLOW 2021'!$A14)</f>
        <v>-475.92</v>
      </c>
      <c r="N14" s="71">
        <f>SUMIFS('CASH BOOK 2021'!$K:$K,'CASH BOOK 2021'!$B:$B,'CASHFLOW 2021'!N$1,'CASH BOOK 2021'!$D:$D,'CASHFLOW 2021'!$A14)</f>
        <v>-635.70000000000005</v>
      </c>
      <c r="O14" s="71">
        <f>SUMIFS('CASH BOOK 2021'!$K:$K,'CASH BOOK 2021'!$B:$B,'CASHFLOW 2021'!O$1,'CASH BOOK 2021'!$D:$D,'CASHFLOW 2021'!$A14)</f>
        <v>-194</v>
      </c>
      <c r="P14" s="69">
        <f t="shared" ref="P14:P29" si="2">SUM(D14:O14)</f>
        <v>-5124.3599999999997</v>
      </c>
      <c r="Q14" s="70">
        <v>5000</v>
      </c>
      <c r="T14" s="251"/>
    </row>
    <row r="15" spans="1:20" ht="15.5" x14ac:dyDescent="0.35">
      <c r="A15" s="9" t="s">
        <v>85</v>
      </c>
      <c r="C15" s="68"/>
      <c r="D15" s="71">
        <f>SUMIFS('CASH BOOK 2021'!$K:$K,'CASH BOOK 2021'!$B:$B,'CASHFLOW 2021'!D$1,'CASH BOOK 2021'!$D:$D,'CASHFLOW 2021'!$A15)</f>
        <v>0</v>
      </c>
      <c r="E15" s="71">
        <f>SUMIFS('CASH BOOK 2021'!$K:$K,'CASH BOOK 2021'!$B:$B,'CASHFLOW 2021'!E$1,'CASH BOOK 2021'!$D:$D,'CASHFLOW 2021'!$A15)</f>
        <v>0</v>
      </c>
      <c r="F15" s="71">
        <f>SUMIFS('CASH BOOK 2021'!$K:$K,'CASH BOOK 2021'!$B:$B,'CASHFLOW 2021'!F$1,'CASH BOOK 2021'!$D:$D,'CASHFLOW 2021'!$A15)</f>
        <v>0</v>
      </c>
      <c r="G15" s="71">
        <f>SUMIFS('CASH BOOK 2021'!$K:$K,'CASH BOOK 2021'!$B:$B,'CASHFLOW 2021'!G$1,'CASH BOOK 2021'!$D:$D,'CASHFLOW 2021'!$A15)</f>
        <v>0</v>
      </c>
      <c r="H15" s="71">
        <f>SUMIFS('CASH BOOK 2021'!$K:$K,'CASH BOOK 2021'!$B:$B,'CASHFLOW 2021'!H$1,'CASH BOOK 2021'!$D:$D,'CASHFLOW 2021'!$A15)</f>
        <v>0</v>
      </c>
      <c r="I15" s="71">
        <f>SUMIFS('CASH BOOK 2021'!$K:$K,'CASH BOOK 2021'!$B:$B,'CASHFLOW 2021'!I$1,'CASH BOOK 2021'!$D:$D,'CASHFLOW 2021'!$A15)</f>
        <v>0</v>
      </c>
      <c r="J15" s="71">
        <f>SUMIFS('CASH BOOK 2021'!$K:$K,'CASH BOOK 2021'!$B:$B,'CASHFLOW 2021'!J$1,'CASH BOOK 2021'!$D:$D,'CASHFLOW 2021'!$A15)</f>
        <v>0</v>
      </c>
      <c r="K15" s="71">
        <f>SUMIFS('CASH BOOK 2021'!$K:$K,'CASH BOOK 2021'!$B:$B,'CASHFLOW 2021'!K$1,'CASH BOOK 2021'!$D:$D,'CASHFLOW 2021'!$A15)</f>
        <v>0</v>
      </c>
      <c r="L15" s="71">
        <f>SUMIFS('CASH BOOK 2021'!$K:$K,'CASH BOOK 2021'!$B:$B,'CASHFLOW 2021'!L$1,'CASH BOOK 2021'!$D:$D,'CASHFLOW 2021'!$A15)</f>
        <v>0</v>
      </c>
      <c r="M15" s="71">
        <f>SUMIFS('CASH BOOK 2021'!$K:$K,'CASH BOOK 2021'!$B:$B,'CASHFLOW 2021'!M$1,'CASH BOOK 2021'!$D:$D,'CASHFLOW 2021'!$A15)</f>
        <v>0</v>
      </c>
      <c r="N15" s="71">
        <f>SUMIFS('CASH BOOK 2021'!$K:$K,'CASH BOOK 2021'!$B:$B,'CASHFLOW 2021'!N$1,'CASH BOOK 2021'!$D:$D,'CASHFLOW 2021'!$A15)</f>
        <v>0</v>
      </c>
      <c r="O15" s="71">
        <f>SUMIFS('CASH BOOK 2021'!$K:$K,'CASH BOOK 2021'!$B:$B,'CASHFLOW 2021'!O$1,'CASH BOOK 2021'!$D:$D,'CASHFLOW 2021'!$A15)</f>
        <v>0</v>
      </c>
      <c r="P15" s="69">
        <f t="shared" si="2"/>
        <v>0</v>
      </c>
      <c r="Q15" s="70">
        <v>0</v>
      </c>
      <c r="T15" s="247"/>
    </row>
    <row r="16" spans="1:20" ht="15.5" x14ac:dyDescent="0.35">
      <c r="A16" s="9" t="s">
        <v>77</v>
      </c>
      <c r="C16" s="68"/>
      <c r="D16" s="71">
        <f>SUMIFS('CASH BOOK 2021'!$K:$K,'CASH BOOK 2021'!$B:$B,'CASHFLOW 2021'!D$1,'CASH BOOK 2021'!$D:$D,'CASHFLOW 2021'!$A16)</f>
        <v>0</v>
      </c>
      <c r="E16" s="71">
        <f>SUMIFS('CASH BOOK 2021'!$K:$K,'CASH BOOK 2021'!$B:$B,'CASHFLOW 2021'!E$1,'CASH BOOK 2021'!$D:$D,'CASHFLOW 2021'!$A16)</f>
        <v>0</v>
      </c>
      <c r="F16" s="71">
        <f>SUMIFS('CASH BOOK 2021'!$K:$K,'CASH BOOK 2021'!$B:$B,'CASHFLOW 2021'!F$1,'CASH BOOK 2021'!$D:$D,'CASHFLOW 2021'!$A16)</f>
        <v>0</v>
      </c>
      <c r="G16" s="71">
        <f>SUMIFS('CASH BOOK 2021'!$K:$K,'CASH BOOK 2021'!$B:$B,'CASHFLOW 2021'!G$1,'CASH BOOK 2021'!$D:$D,'CASHFLOW 2021'!$A16)</f>
        <v>0</v>
      </c>
      <c r="H16" s="71">
        <f>SUMIFS('CASH BOOK 2021'!$K:$K,'CASH BOOK 2021'!$B:$B,'CASHFLOW 2021'!H$1,'CASH BOOK 2021'!$D:$D,'CASHFLOW 2021'!$A16)</f>
        <v>0</v>
      </c>
      <c r="I16" s="71">
        <f>SUMIFS('CASH BOOK 2021'!$K:$K,'CASH BOOK 2021'!$B:$B,'CASHFLOW 2021'!I$1,'CASH BOOK 2021'!$D:$D,'CASHFLOW 2021'!$A16)</f>
        <v>0</v>
      </c>
      <c r="J16" s="71">
        <f>SUMIFS('CASH BOOK 2021'!$K:$K,'CASH BOOK 2021'!$B:$B,'CASHFLOW 2021'!J$1,'CASH BOOK 2021'!$D:$D,'CASHFLOW 2021'!$A16)</f>
        <v>0</v>
      </c>
      <c r="K16" s="71">
        <f>SUMIFS('CASH BOOK 2021'!$K:$K,'CASH BOOK 2021'!$B:$B,'CASHFLOW 2021'!K$1,'CASH BOOK 2021'!$D:$D,'CASHFLOW 2021'!$A16)</f>
        <v>0</v>
      </c>
      <c r="L16" s="71">
        <f>SUMIFS('CASH BOOK 2021'!$K:$K,'CASH BOOK 2021'!$B:$B,'CASHFLOW 2021'!L$1,'CASH BOOK 2021'!$D:$D,'CASHFLOW 2021'!$A16)</f>
        <v>0</v>
      </c>
      <c r="M16" s="71">
        <f>SUMIFS('CASH BOOK 2021'!$K:$K,'CASH BOOK 2021'!$B:$B,'CASHFLOW 2021'!M$1,'CASH BOOK 2021'!$D:$D,'CASHFLOW 2021'!$A16)</f>
        <v>0</v>
      </c>
      <c r="N16" s="71">
        <f>SUMIFS('CASH BOOK 2021'!$K:$K,'CASH BOOK 2021'!$B:$B,'CASHFLOW 2021'!N$1,'CASH BOOK 2021'!$D:$D,'CASHFLOW 2021'!$A16)</f>
        <v>0</v>
      </c>
      <c r="O16" s="71">
        <f>SUMIFS('CASH BOOK 2021'!$K:$K,'CASH BOOK 2021'!$B:$B,'CASHFLOW 2021'!O$1,'CASH BOOK 2021'!$D:$D,'CASHFLOW 2021'!$A16)</f>
        <v>0</v>
      </c>
      <c r="P16" s="69">
        <f t="shared" si="2"/>
        <v>0</v>
      </c>
      <c r="Q16" s="70">
        <v>0</v>
      </c>
      <c r="T16" s="247"/>
    </row>
    <row r="17" spans="1:20" ht="15.5" x14ac:dyDescent="0.35">
      <c r="A17" s="9" t="s">
        <v>320</v>
      </c>
      <c r="C17" s="68"/>
      <c r="D17" s="71">
        <f>SUMIFS('CASH BOOK 2021'!$K:$K,'CASH BOOK 2021'!$B:$B,'CASHFLOW 2021'!D$1,'CASH BOOK 2021'!$D:$D,'CASHFLOW 2021'!$A17)</f>
        <v>0</v>
      </c>
      <c r="E17" s="71">
        <f>SUMIFS('CASH BOOK 2021'!$K:$K,'CASH BOOK 2021'!$B:$B,'CASHFLOW 2021'!E$1,'CASH BOOK 2021'!$D:$D,'CASHFLOW 2021'!$A17)</f>
        <v>0</v>
      </c>
      <c r="F17" s="71">
        <f>SUMIFS('CASH BOOK 2021'!$K:$K,'CASH BOOK 2021'!$B:$B,'CASHFLOW 2021'!F$1,'CASH BOOK 2021'!$D:$D,'CASHFLOW 2021'!$A17)</f>
        <v>0</v>
      </c>
      <c r="G17" s="71">
        <f>SUMIFS('CASH BOOK 2021'!$K:$K,'CASH BOOK 2021'!$B:$B,'CASHFLOW 2021'!G$1,'CASH BOOK 2021'!$D:$D,'CASHFLOW 2021'!$A17)</f>
        <v>0</v>
      </c>
      <c r="H17" s="71">
        <f>SUMIFS('CASH BOOK 2021'!$K:$K,'CASH BOOK 2021'!$B:$B,'CASHFLOW 2021'!H$1,'CASH BOOK 2021'!$D:$D,'CASHFLOW 2021'!$A17)</f>
        <v>0</v>
      </c>
      <c r="I17" s="71">
        <f>SUMIFS('CASH BOOK 2021'!$K:$K,'CASH BOOK 2021'!$B:$B,'CASHFLOW 2021'!I$1,'CASH BOOK 2021'!$D:$D,'CASHFLOW 2021'!$A17)</f>
        <v>0</v>
      </c>
      <c r="J17" s="71">
        <f>SUMIFS('CASH BOOK 2021'!$K:$K,'CASH BOOK 2021'!$B:$B,'CASHFLOW 2021'!J$1,'CASH BOOK 2021'!$D:$D,'CASHFLOW 2021'!$A17)</f>
        <v>0</v>
      </c>
      <c r="K17" s="71">
        <f>SUMIFS('CASH BOOK 2021'!$K:$K,'CASH BOOK 2021'!$B:$B,'CASHFLOW 2021'!K$1,'CASH BOOK 2021'!$D:$D,'CASHFLOW 2021'!$A17)</f>
        <v>0</v>
      </c>
      <c r="L17" s="71">
        <f>SUMIFS('CASH BOOK 2021'!$K:$K,'CASH BOOK 2021'!$B:$B,'CASHFLOW 2021'!L$1,'CASH BOOK 2021'!$D:$D,'CASHFLOW 2021'!$A17)</f>
        <v>0</v>
      </c>
      <c r="M17" s="71">
        <f>SUMIFS('CASH BOOK 2021'!$K:$K,'CASH BOOK 2021'!$B:$B,'CASHFLOW 2021'!M$1,'CASH BOOK 2021'!$D:$D,'CASHFLOW 2021'!$A17)</f>
        <v>0</v>
      </c>
      <c r="N17" s="71">
        <f>SUMIFS('CASH BOOK 2021'!$K:$K,'CASH BOOK 2021'!$B:$B,'CASHFLOW 2021'!N$1,'CASH BOOK 2021'!$D:$D,'CASHFLOW 2021'!$A17)</f>
        <v>0</v>
      </c>
      <c r="O17" s="71">
        <f>SUMIFS('CASH BOOK 2021'!$K:$K,'CASH BOOK 2021'!$B:$B,'CASHFLOW 2021'!O$1,'CASH BOOK 2021'!$D:$D,'CASHFLOW 2021'!$A17)</f>
        <v>0</v>
      </c>
      <c r="P17" s="69">
        <f t="shared" si="2"/>
        <v>0</v>
      </c>
      <c r="Q17" s="70"/>
      <c r="T17" s="247"/>
    </row>
    <row r="18" spans="1:20" ht="15.5" x14ac:dyDescent="0.35">
      <c r="A18" s="9" t="s">
        <v>8</v>
      </c>
      <c r="C18" s="68"/>
      <c r="D18" s="71">
        <f>SUMIFS('CASH BOOK 2021'!$K:$K,'CASH BOOK 2021'!$B:$B,'CASHFLOW 2021'!D$1,'CASH BOOK 2021'!$D:$D,'CASHFLOW 2021'!$A18)</f>
        <v>-413.12</v>
      </c>
      <c r="E18" s="71">
        <f>SUMIFS('CASH BOOK 2021'!$K:$K,'CASH BOOK 2021'!$B:$B,'CASHFLOW 2021'!E$1,'CASH BOOK 2021'!$D:$D,'CASHFLOW 2021'!$A18)</f>
        <v>-547.29</v>
      </c>
      <c r="F18" s="71">
        <f>SUMIFS('CASH BOOK 2021'!$K:$K,'CASH BOOK 2021'!$B:$B,'CASHFLOW 2021'!F$1,'CASH BOOK 2021'!$D:$D,'CASHFLOW 2021'!$A18)</f>
        <v>-512.87</v>
      </c>
      <c r="G18" s="71">
        <f>SUMIFS('CASH BOOK 2021'!$K:$K,'CASH BOOK 2021'!$B:$B,'CASHFLOW 2021'!G$1,'CASH BOOK 2021'!$D:$D,'CASHFLOW 2021'!$A18)</f>
        <v>-382.37</v>
      </c>
      <c r="H18" s="71">
        <f>SUMIFS('CASH BOOK 2021'!$K:$K,'CASH BOOK 2021'!$B:$B,'CASHFLOW 2021'!H$1,'CASH BOOK 2021'!$D:$D,'CASHFLOW 2021'!$A18)</f>
        <v>-119.54</v>
      </c>
      <c r="I18" s="71">
        <f>SUMIFS('CASH BOOK 2021'!$K:$K,'CASH BOOK 2021'!$B:$B,'CASHFLOW 2021'!I$1,'CASH BOOK 2021'!$D:$D,'CASHFLOW 2021'!$A18)</f>
        <v>-151.51</v>
      </c>
      <c r="J18" s="71">
        <f>SUMIFS('CASH BOOK 2021'!$K:$K,'CASH BOOK 2021'!$B:$B,'CASHFLOW 2021'!J$1,'CASH BOOK 2021'!$D:$D,'CASHFLOW 2021'!$A18)</f>
        <v>-29.7</v>
      </c>
      <c r="K18" s="71">
        <f>SUMIFS('CASH BOOK 2021'!$K:$K,'CASH BOOK 2021'!$B:$B,'CASHFLOW 2021'!K$1,'CASH BOOK 2021'!$D:$D,'CASHFLOW 2021'!$A18)</f>
        <v>-19.489999999999998</v>
      </c>
      <c r="L18" s="71">
        <f>SUMIFS('CASH BOOK 2021'!$K:$K,'CASH BOOK 2021'!$B:$B,'CASHFLOW 2021'!L$1,'CASH BOOK 2021'!$D:$D,'CASHFLOW 2021'!$A18)</f>
        <v>-24.79</v>
      </c>
      <c r="M18" s="71">
        <f>SUMIFS('CASH BOOK 2021'!$K:$K,'CASH BOOK 2021'!$B:$B,'CASHFLOW 2021'!M$1,'CASH BOOK 2021'!$D:$D,'CASHFLOW 2021'!$A18)</f>
        <v>-79.760000000000005</v>
      </c>
      <c r="N18" s="71">
        <f>SUMIFS('CASH BOOK 2021'!$K:$K,'CASH BOOK 2021'!$B:$B,'CASHFLOW 2021'!N$1,'CASH BOOK 2021'!$D:$D,'CASHFLOW 2021'!$A18)</f>
        <v>-150.41</v>
      </c>
      <c r="O18" s="71">
        <f>SUMIFS('CASH BOOK 2021'!$K:$K,'CASH BOOK 2021'!$B:$B,'CASHFLOW 2021'!O$1,'CASH BOOK 2021'!$D:$D,'CASHFLOW 2021'!$A18)</f>
        <v>-268.33999999999997</v>
      </c>
      <c r="P18" s="69">
        <f t="shared" si="2"/>
        <v>-2699.1899999999996</v>
      </c>
      <c r="Q18" s="70">
        <v>3500</v>
      </c>
      <c r="T18" s="247"/>
    </row>
    <row r="19" spans="1:20" ht="15.5" x14ac:dyDescent="0.35">
      <c r="A19" s="9" t="s">
        <v>9</v>
      </c>
      <c r="C19" s="68"/>
      <c r="D19" s="71">
        <f>SUMIFS('CASH BOOK 2021'!$K:$K,'CASH BOOK 2021'!$B:$B,'CASHFLOW 2021'!D$1,'CASH BOOK 2021'!$D:$D,'CASHFLOW 2021'!$A19)</f>
        <v>-85.070000000000007</v>
      </c>
      <c r="E19" s="71">
        <f>SUMIFS('CASH BOOK 2021'!$K:$K,'CASH BOOK 2021'!$B:$B,'CASHFLOW 2021'!E$1,'CASH BOOK 2021'!$D:$D,'CASHFLOW 2021'!$A19)</f>
        <v>-101.28</v>
      </c>
      <c r="F19" s="71">
        <f>SUMIFS('CASH BOOK 2021'!$K:$K,'CASH BOOK 2021'!$B:$B,'CASHFLOW 2021'!F$1,'CASH BOOK 2021'!$D:$D,'CASHFLOW 2021'!$A19)</f>
        <v>-95.71</v>
      </c>
      <c r="G19" s="71">
        <f>SUMIFS('CASH BOOK 2021'!$K:$K,'CASH BOOK 2021'!$B:$B,'CASHFLOW 2021'!G$1,'CASH BOOK 2021'!$D:$D,'CASHFLOW 2021'!$A19)</f>
        <v>-214.73</v>
      </c>
      <c r="H19" s="71">
        <f>SUMIFS('CASH BOOK 2021'!$K:$K,'CASH BOOK 2021'!$B:$B,'CASHFLOW 2021'!H$1,'CASH BOOK 2021'!$D:$D,'CASHFLOW 2021'!$A19)</f>
        <v>-120.1</v>
      </c>
      <c r="I19" s="71">
        <f>SUMIFS('CASH BOOK 2021'!$K:$K,'CASH BOOK 2021'!$B:$B,'CASHFLOW 2021'!I$1,'CASH BOOK 2021'!$D:$D,'CASHFLOW 2021'!$A19)</f>
        <v>-100.85</v>
      </c>
      <c r="J19" s="71">
        <f>SUMIFS('CASH BOOK 2021'!$K:$K,'CASH BOOK 2021'!$B:$B,'CASHFLOW 2021'!J$1,'CASH BOOK 2021'!$D:$D,'CASHFLOW 2021'!$A19)</f>
        <v>-135.03</v>
      </c>
      <c r="K19" s="71">
        <f>SUMIFS('CASH BOOK 2021'!$K:$K,'CASH BOOK 2021'!$B:$B,'CASHFLOW 2021'!K$1,'CASH BOOK 2021'!$D:$D,'CASHFLOW 2021'!$A19)</f>
        <v>-107.18</v>
      </c>
      <c r="L19" s="71">
        <f>SUMIFS('CASH BOOK 2021'!$K:$K,'CASH BOOK 2021'!$B:$B,'CASHFLOW 2021'!L$1,'CASH BOOK 2021'!$D:$D,'CASHFLOW 2021'!$A19)</f>
        <v>-108.68</v>
      </c>
      <c r="M19" s="71">
        <f>SUMIFS('CASH BOOK 2021'!$K:$K,'CASH BOOK 2021'!$B:$B,'CASHFLOW 2021'!M$1,'CASH BOOK 2021'!$D:$D,'CASHFLOW 2021'!$A19)</f>
        <v>-118.78</v>
      </c>
      <c r="N19" s="71">
        <f>SUMIFS('CASH BOOK 2021'!$K:$K,'CASH BOOK 2021'!$B:$B,'CASHFLOW 2021'!N$1,'CASH BOOK 2021'!$D:$D,'CASHFLOW 2021'!$A19)</f>
        <v>-129.75</v>
      </c>
      <c r="O19" s="71">
        <f>SUMIFS('CASH BOOK 2021'!$K:$K,'CASH BOOK 2021'!$B:$B,'CASHFLOW 2021'!O$1,'CASH BOOK 2021'!$D:$D,'CASHFLOW 2021'!$A19)</f>
        <v>-115.32</v>
      </c>
      <c r="P19" s="69">
        <f t="shared" si="2"/>
        <v>-1432.48</v>
      </c>
      <c r="Q19" s="70">
        <v>1500</v>
      </c>
      <c r="T19" s="247"/>
    </row>
    <row r="20" spans="1:20" ht="15.5" x14ac:dyDescent="0.35">
      <c r="A20" s="9" t="s">
        <v>301</v>
      </c>
      <c r="C20" s="68"/>
      <c r="D20" s="71">
        <f>SUMIFS('CASH BOOK 2021'!$K:$K,'CASH BOOK 2021'!$B:$B,'CASHFLOW 2021'!D$1,'CASH BOOK 2021'!$D:$D,'CASHFLOW 2021'!$A20)</f>
        <v>-44.94</v>
      </c>
      <c r="E20" s="71">
        <f>SUMIFS('CASH BOOK 2021'!$K:$K,'CASH BOOK 2021'!$B:$B,'CASHFLOW 2021'!E$1,'CASH BOOK 2021'!$D:$D,'CASHFLOW 2021'!$A20)</f>
        <v>-44.94</v>
      </c>
      <c r="F20" s="71">
        <f>SUMIFS('CASH BOOK 2021'!$K:$K,'CASH BOOK 2021'!$B:$B,'CASHFLOW 2021'!F$1,'CASH BOOK 2021'!$D:$D,'CASHFLOW 2021'!$A20)</f>
        <v>-44.94</v>
      </c>
      <c r="G20" s="71">
        <f>SUMIFS('CASH BOOK 2021'!$K:$K,'CASH BOOK 2021'!$B:$B,'CASHFLOW 2021'!G$1,'CASH BOOK 2021'!$D:$D,'CASHFLOW 2021'!$A20)</f>
        <v>-44.94</v>
      </c>
      <c r="H20" s="71">
        <f>SUMIFS('CASH BOOK 2021'!$K:$K,'CASH BOOK 2021'!$B:$B,'CASHFLOW 2021'!H$1,'CASH BOOK 2021'!$D:$D,'CASHFLOW 2021'!$A20)</f>
        <v>-44.94</v>
      </c>
      <c r="I20" s="71">
        <f>SUMIFS('CASH BOOK 2021'!$K:$K,'CASH BOOK 2021'!$B:$B,'CASHFLOW 2021'!I$1,'CASH BOOK 2021'!$D:$D,'CASHFLOW 2021'!$A20)</f>
        <v>-44.94</v>
      </c>
      <c r="J20" s="71">
        <f>SUMIFS('CASH BOOK 2021'!$K:$K,'CASH BOOK 2021'!$B:$B,'CASHFLOW 2021'!J$1,'CASH BOOK 2021'!$D:$D,'CASHFLOW 2021'!$A20)</f>
        <v>-44.94</v>
      </c>
      <c r="K20" s="71">
        <f>SUMIFS('CASH BOOK 2021'!$K:$K,'CASH BOOK 2021'!$B:$B,'CASHFLOW 2021'!K$1,'CASH BOOK 2021'!$D:$D,'CASHFLOW 2021'!$A20)</f>
        <v>-44.94</v>
      </c>
      <c r="L20" s="71">
        <f>SUMIFS('CASH BOOK 2021'!$K:$K,'CASH BOOK 2021'!$B:$B,'CASHFLOW 2021'!L$1,'CASH BOOK 2021'!$D:$D,'CASHFLOW 2021'!$A20)</f>
        <v>-44.94</v>
      </c>
      <c r="M20" s="71">
        <f>SUMIFS('CASH BOOK 2021'!$K:$K,'CASH BOOK 2021'!$B:$B,'CASHFLOW 2021'!M$1,'CASH BOOK 2021'!$D:$D,'CASHFLOW 2021'!$A20)</f>
        <v>-44.94</v>
      </c>
      <c r="N20" s="71">
        <f>SUMIFS('CASH BOOK 2021'!$K:$K,'CASH BOOK 2021'!$B:$B,'CASHFLOW 2021'!N$1,'CASH BOOK 2021'!$D:$D,'CASHFLOW 2021'!$A20)</f>
        <v>-82.94</v>
      </c>
      <c r="O20" s="71">
        <f>SUMIFS('CASH BOOK 2021'!$K:$K,'CASH BOOK 2021'!$B:$B,'CASHFLOW 2021'!O$1,'CASH BOOK 2021'!$D:$D,'CASHFLOW 2021'!$A20)</f>
        <v>-44.94</v>
      </c>
      <c r="P20" s="69">
        <f t="shared" si="2"/>
        <v>-577.28</v>
      </c>
      <c r="Q20" s="70">
        <v>540</v>
      </c>
      <c r="T20" s="247"/>
    </row>
    <row r="21" spans="1:20" ht="15.5" x14ac:dyDescent="0.35">
      <c r="A21" s="9" t="s">
        <v>86</v>
      </c>
      <c r="C21" s="68"/>
      <c r="D21" s="71">
        <f>SUMIFS('CASH BOOK 2021'!$K:$K,'CASH BOOK 2021'!$B:$B,'CASHFLOW 2021'!D$1,'CASH BOOK 2021'!$D:$D,'CASHFLOW 2021'!$A21)</f>
        <v>0</v>
      </c>
      <c r="E21" s="71">
        <f>SUMIFS('CASH BOOK 2021'!$K:$K,'CASH BOOK 2021'!$B:$B,'CASHFLOW 2021'!E$1,'CASH BOOK 2021'!$D:$D,'CASHFLOW 2021'!$A21)</f>
        <v>0</v>
      </c>
      <c r="F21" s="71">
        <f>SUMIFS('CASH BOOK 2021'!$K:$K,'CASH BOOK 2021'!$B:$B,'CASHFLOW 2021'!F$1,'CASH BOOK 2021'!$D:$D,'CASHFLOW 2021'!$A21)</f>
        <v>-100</v>
      </c>
      <c r="G21" s="71">
        <f>SUMIFS('CASH BOOK 2021'!$K:$K,'CASH BOOK 2021'!$B:$B,'CASHFLOW 2021'!G$1,'CASH BOOK 2021'!$D:$D,'CASHFLOW 2021'!$A21)</f>
        <v>0</v>
      </c>
      <c r="H21" s="71">
        <f>SUMIFS('CASH BOOK 2021'!$K:$K,'CASH BOOK 2021'!$B:$B,'CASHFLOW 2021'!H$1,'CASH BOOK 2021'!$D:$D,'CASHFLOW 2021'!$A21)</f>
        <v>0</v>
      </c>
      <c r="I21" s="71">
        <f>SUMIFS('CASH BOOK 2021'!$K:$K,'CASH BOOK 2021'!$B:$B,'CASHFLOW 2021'!I$1,'CASH BOOK 2021'!$D:$D,'CASHFLOW 2021'!$A21)</f>
        <v>0</v>
      </c>
      <c r="J21" s="71">
        <f>SUMIFS('CASH BOOK 2021'!$K:$K,'CASH BOOK 2021'!$B:$B,'CASHFLOW 2021'!J$1,'CASH BOOK 2021'!$D:$D,'CASHFLOW 2021'!$A21)</f>
        <v>0</v>
      </c>
      <c r="K21" s="71">
        <f>SUMIFS('CASH BOOK 2021'!$K:$K,'CASH BOOK 2021'!$B:$B,'CASHFLOW 2021'!K$1,'CASH BOOK 2021'!$D:$D,'CASHFLOW 2021'!$A21)</f>
        <v>0</v>
      </c>
      <c r="L21" s="71">
        <f>SUMIFS('CASH BOOK 2021'!$K:$K,'CASH BOOK 2021'!$B:$B,'CASHFLOW 2021'!L$1,'CASH BOOK 2021'!$D:$D,'CASHFLOW 2021'!$A21)</f>
        <v>0</v>
      </c>
      <c r="M21" s="71">
        <f>SUMIFS('CASH BOOK 2021'!$K:$K,'CASH BOOK 2021'!$B:$B,'CASHFLOW 2021'!M$1,'CASH BOOK 2021'!$D:$D,'CASHFLOW 2021'!$A21)</f>
        <v>0</v>
      </c>
      <c r="N21" s="71">
        <f>SUMIFS('CASH BOOK 2021'!$K:$K,'CASH BOOK 2021'!$B:$B,'CASHFLOW 2021'!N$1,'CASH BOOK 2021'!$D:$D,'CASHFLOW 2021'!$A21)</f>
        <v>0</v>
      </c>
      <c r="O21" s="71">
        <f>SUMIFS('CASH BOOK 2021'!$K:$K,'CASH BOOK 2021'!$B:$B,'CASHFLOW 2021'!O$1,'CASH BOOK 2021'!$D:$D,'CASHFLOW 2021'!$A21)</f>
        <v>0</v>
      </c>
      <c r="P21" s="69">
        <f>SUM(D21:O21)</f>
        <v>-100</v>
      </c>
      <c r="Q21" s="70">
        <v>100</v>
      </c>
      <c r="T21" s="247"/>
    </row>
    <row r="22" spans="1:20" ht="15.5" x14ac:dyDescent="0.35">
      <c r="A22" s="9" t="s">
        <v>10</v>
      </c>
      <c r="C22" s="68"/>
      <c r="D22" s="71">
        <f>SUMIFS('CASH BOOK 2021'!$K:$K,'CASH BOOK 2021'!$B:$B,'CASHFLOW 2021'!D$1,'CASH BOOK 2021'!$D:$D,'CASHFLOW 2021'!$A22)</f>
        <v>0</v>
      </c>
      <c r="E22" s="71">
        <f>SUMIFS('CASH BOOK 2021'!$K:$K,'CASH BOOK 2021'!$B:$B,'CASHFLOW 2021'!E$1,'CASH BOOK 2021'!$D:$D,'CASHFLOW 2021'!$A22)</f>
        <v>0</v>
      </c>
      <c r="F22" s="71">
        <f>SUMIFS('CASH BOOK 2021'!$K:$K,'CASH BOOK 2021'!$B:$B,'CASHFLOW 2021'!F$1,'CASH BOOK 2021'!$D:$D,'CASHFLOW 2021'!$A22)</f>
        <v>-1117.0999999999999</v>
      </c>
      <c r="G22" s="71">
        <f>SUMIFS('CASH BOOK 2021'!$K:$K,'CASH BOOK 2021'!$B:$B,'CASHFLOW 2021'!G$1,'CASH BOOK 2021'!$D:$D,'CASHFLOW 2021'!$A22)</f>
        <v>0</v>
      </c>
      <c r="H22" s="71">
        <f>SUMIFS('CASH BOOK 2021'!$K:$K,'CASH BOOK 2021'!$B:$B,'CASHFLOW 2021'!H$1,'CASH BOOK 2021'!$D:$D,'CASHFLOW 2021'!$A22)</f>
        <v>0</v>
      </c>
      <c r="I22" s="71">
        <f>SUMIFS('CASH BOOK 2021'!$K:$K,'CASH BOOK 2021'!$B:$B,'CASHFLOW 2021'!I$1,'CASH BOOK 2021'!$D:$D,'CASHFLOW 2021'!$A22)</f>
        <v>0</v>
      </c>
      <c r="J22" s="71">
        <f>SUMIFS('CASH BOOK 2021'!$K:$K,'CASH BOOK 2021'!$B:$B,'CASHFLOW 2021'!J$1,'CASH BOOK 2021'!$D:$D,'CASHFLOW 2021'!$A22)</f>
        <v>0</v>
      </c>
      <c r="K22" s="71">
        <f>SUMIFS('CASH BOOK 2021'!$K:$K,'CASH BOOK 2021'!$B:$B,'CASHFLOW 2021'!K$1,'CASH BOOK 2021'!$D:$D,'CASHFLOW 2021'!$A22)</f>
        <v>0</v>
      </c>
      <c r="L22" s="71">
        <f>SUMIFS('CASH BOOK 2021'!$K:$K,'CASH BOOK 2021'!$B:$B,'CASHFLOW 2021'!L$1,'CASH BOOK 2021'!$D:$D,'CASHFLOW 2021'!$A22)</f>
        <v>0</v>
      </c>
      <c r="M22" s="71">
        <f>SUMIFS('CASH BOOK 2021'!$K:$K,'CASH BOOK 2021'!$B:$B,'CASHFLOW 2021'!M$1,'CASH BOOK 2021'!$D:$D,'CASHFLOW 2021'!$A22)</f>
        <v>0</v>
      </c>
      <c r="N22" s="71">
        <f>SUMIFS('CASH BOOK 2021'!$K:$K,'CASH BOOK 2021'!$B:$B,'CASHFLOW 2021'!N$1,'CASH BOOK 2021'!$D:$D,'CASHFLOW 2021'!$A22)</f>
        <v>0</v>
      </c>
      <c r="O22" s="71">
        <f>SUMIFS('CASH BOOK 2021'!$K:$K,'CASH BOOK 2021'!$B:$B,'CASHFLOW 2021'!O$1,'CASH BOOK 2021'!$D:$D,'CASHFLOW 2021'!$A22)</f>
        <v>0</v>
      </c>
      <c r="P22" s="69">
        <f t="shared" si="2"/>
        <v>-1117.0999999999999</v>
      </c>
      <c r="Q22" s="70">
        <v>1100</v>
      </c>
      <c r="T22" s="247"/>
    </row>
    <row r="23" spans="1:20" ht="15.5" x14ac:dyDescent="0.35">
      <c r="A23" s="9" t="s">
        <v>11</v>
      </c>
      <c r="C23" s="68"/>
      <c r="D23" s="71">
        <f>SUMIFS('CASH BOOK 2021'!$K:$K,'CASH BOOK 2021'!$B:$B,'CASHFLOW 2021'!D$1,'CASH BOOK 2021'!$D:$D,'CASHFLOW 2021'!$A23)</f>
        <v>-46.45</v>
      </c>
      <c r="E23" s="71">
        <f>SUMIFS('CASH BOOK 2021'!$K:$K,'CASH BOOK 2021'!$B:$B,'CASHFLOW 2021'!E$1,'CASH BOOK 2021'!$D:$D,'CASHFLOW 2021'!$A23)</f>
        <v>-46.45</v>
      </c>
      <c r="F23" s="71">
        <f>SUMIFS('CASH BOOK 2021'!$K:$K,'CASH BOOK 2021'!$B:$B,'CASHFLOW 2021'!F$1,'CASH BOOK 2021'!$D:$D,'CASHFLOW 2021'!$A23)</f>
        <v>-46.45</v>
      </c>
      <c r="G23" s="71">
        <f>SUMIFS('CASH BOOK 2021'!$K:$K,'CASH BOOK 2021'!$B:$B,'CASHFLOW 2021'!G$1,'CASH BOOK 2021'!$D:$D,'CASHFLOW 2021'!$A23)</f>
        <v>-46.45</v>
      </c>
      <c r="H23" s="71">
        <f>SUMIFS('CASH BOOK 2021'!$K:$K,'CASH BOOK 2021'!$B:$B,'CASHFLOW 2021'!H$1,'CASH BOOK 2021'!$D:$D,'CASHFLOW 2021'!$A23)</f>
        <v>-46.45</v>
      </c>
      <c r="I23" s="71">
        <f>SUMIFS('CASH BOOK 2021'!$K:$K,'CASH BOOK 2021'!$B:$B,'CASHFLOW 2021'!I$1,'CASH BOOK 2021'!$D:$D,'CASHFLOW 2021'!$A23)</f>
        <v>-46.45</v>
      </c>
      <c r="J23" s="71">
        <f>SUMIFS('CASH BOOK 2021'!$K:$K,'CASH BOOK 2021'!$B:$B,'CASHFLOW 2021'!J$1,'CASH BOOK 2021'!$D:$D,'CASHFLOW 2021'!$A23)</f>
        <v>-46.45</v>
      </c>
      <c r="K23" s="71">
        <f>SUMIFS('CASH BOOK 2021'!$K:$K,'CASH BOOK 2021'!$B:$B,'CASHFLOW 2021'!K$1,'CASH BOOK 2021'!$D:$D,'CASHFLOW 2021'!$A23)</f>
        <v>-46.45</v>
      </c>
      <c r="L23" s="71">
        <f>SUMIFS('CASH BOOK 2021'!$K:$K,'CASH BOOK 2021'!$B:$B,'CASHFLOW 2021'!L$1,'CASH BOOK 2021'!$D:$D,'CASHFLOW 2021'!$A23)</f>
        <v>-46.45</v>
      </c>
      <c r="M23" s="71">
        <f>SUMIFS('CASH BOOK 2021'!$K:$K,'CASH BOOK 2021'!$B:$B,'CASHFLOW 2021'!M$1,'CASH BOOK 2021'!$D:$D,'CASHFLOW 2021'!$A23)</f>
        <v>-29.04000000000002</v>
      </c>
      <c r="N23" s="71">
        <f>SUMIFS('CASH BOOK 2021'!$K:$K,'CASH BOOK 2021'!$B:$B,'CASHFLOW 2021'!N$1,'CASH BOOK 2021'!$D:$D,'CASHFLOW 2021'!$A23)</f>
        <v>501.92</v>
      </c>
      <c r="O23" s="71">
        <f>SUMIFS('CASH BOOK 2021'!$K:$K,'CASH BOOK 2021'!$B:$B,'CASHFLOW 2021'!O$1,'CASH BOOK 2021'!$D:$D,'CASHFLOW 2021'!$A23)</f>
        <v>0</v>
      </c>
      <c r="P23" s="69">
        <f t="shared" si="2"/>
        <v>54.830000000000041</v>
      </c>
      <c r="Q23" s="70">
        <v>600</v>
      </c>
      <c r="T23" s="247"/>
    </row>
    <row r="24" spans="1:20" ht="15.5" x14ac:dyDescent="0.35">
      <c r="A24" s="9" t="s">
        <v>12</v>
      </c>
      <c r="C24" s="68"/>
      <c r="D24" s="71">
        <f>SUMIFS('CASH BOOK 2021'!$K:$K,'CASH BOOK 2021'!$B:$B,'CASHFLOW 2021'!D$1,'CASH BOOK 2021'!$D:$D,'CASHFLOW 2021'!$A24)</f>
        <v>-376.76</v>
      </c>
      <c r="E24" s="71">
        <f>SUMIFS('CASH BOOK 2021'!$K:$K,'CASH BOOK 2021'!$B:$B,'CASHFLOW 2021'!E$1,'CASH BOOK 2021'!$D:$D,'CASHFLOW 2021'!$A24)</f>
        <v>-329</v>
      </c>
      <c r="F24" s="71">
        <f>SUMIFS('CASH BOOK 2021'!$K:$K,'CASH BOOK 2021'!$B:$B,'CASHFLOW 2021'!F$1,'CASH BOOK 2021'!$D:$D,'CASHFLOW 2021'!$A24)</f>
        <v>-364.78</v>
      </c>
      <c r="G24" s="71">
        <f>SUMIFS('CASH BOOK 2021'!$K:$K,'CASH BOOK 2021'!$B:$B,'CASHFLOW 2021'!G$1,'CASH BOOK 2021'!$D:$D,'CASHFLOW 2021'!$A24)</f>
        <v>-332.92</v>
      </c>
      <c r="H24" s="71">
        <f>SUMIFS('CASH BOOK 2021'!$K:$K,'CASH BOOK 2021'!$B:$B,'CASHFLOW 2021'!H$1,'CASH BOOK 2021'!$D:$D,'CASHFLOW 2021'!$A24)</f>
        <v>-331.95</v>
      </c>
      <c r="I24" s="71">
        <f>SUMIFS('CASH BOOK 2021'!$K:$K,'CASH BOOK 2021'!$B:$B,'CASHFLOW 2021'!I$1,'CASH BOOK 2021'!$D:$D,'CASHFLOW 2021'!$A24)</f>
        <v>-307.58</v>
      </c>
      <c r="J24" s="71">
        <f>SUMIFS('CASH BOOK 2021'!$K:$K,'CASH BOOK 2021'!$B:$B,'CASHFLOW 2021'!J$1,'CASH BOOK 2021'!$D:$D,'CASHFLOW 2021'!$A24)</f>
        <v>-411.78</v>
      </c>
      <c r="K24" s="71">
        <f>SUMIFS('CASH BOOK 2021'!$K:$K,'CASH BOOK 2021'!$B:$B,'CASHFLOW 2021'!K$1,'CASH BOOK 2021'!$D:$D,'CASHFLOW 2021'!$A24)</f>
        <v>-331.42</v>
      </c>
      <c r="L24" s="71">
        <f>SUMIFS('CASH BOOK 2021'!$K:$K,'CASH BOOK 2021'!$B:$B,'CASHFLOW 2021'!L$1,'CASH BOOK 2021'!$D:$D,'CASHFLOW 2021'!$A24)</f>
        <v>-341.63</v>
      </c>
      <c r="M24" s="71">
        <f>SUMIFS('CASH BOOK 2021'!$K:$K,'CASH BOOK 2021'!$B:$B,'CASHFLOW 2021'!M$1,'CASH BOOK 2021'!$D:$D,'CASHFLOW 2021'!$A24)</f>
        <v>-522.92000000000007</v>
      </c>
      <c r="N24" s="71">
        <f>SUMIFS('CASH BOOK 2021'!$K:$K,'CASH BOOK 2021'!$B:$B,'CASHFLOW 2021'!N$1,'CASH BOOK 2021'!$D:$D,'CASHFLOW 2021'!$A24)</f>
        <v>-403.73</v>
      </c>
      <c r="O24" s="71">
        <f>SUMIFS('CASH BOOK 2021'!$K:$K,'CASH BOOK 2021'!$B:$B,'CASHFLOW 2021'!O$1,'CASH BOOK 2021'!$D:$D,'CASHFLOW 2021'!$A24)</f>
        <v>-436.49</v>
      </c>
      <c r="P24" s="69">
        <f t="shared" si="2"/>
        <v>-4490.96</v>
      </c>
      <c r="Q24" s="70">
        <v>4340</v>
      </c>
      <c r="T24" s="247"/>
    </row>
    <row r="25" spans="1:20" ht="15.5" x14ac:dyDescent="0.35">
      <c r="A25" s="9" t="s">
        <v>13</v>
      </c>
      <c r="C25" s="68"/>
      <c r="D25" s="71">
        <f>SUMIFS('CASH BOOK 2021'!$K:$K,'CASH BOOK 2021'!$B:$B,'CASHFLOW 2021'!D$1,'CASH BOOK 2021'!$D:$D,'CASHFLOW 2021'!$A25)</f>
        <v>-605</v>
      </c>
      <c r="E25" s="71">
        <f>SUMIFS('CASH BOOK 2021'!$K:$K,'CASH BOOK 2021'!$B:$B,'CASHFLOW 2021'!E$1,'CASH BOOK 2021'!$D:$D,'CASHFLOW 2021'!$A25)</f>
        <v>0</v>
      </c>
      <c r="F25" s="71">
        <f>SUMIFS('CASH BOOK 2021'!$K:$K,'CASH BOOK 2021'!$B:$B,'CASHFLOW 2021'!F$1,'CASH BOOK 2021'!$D:$D,'CASHFLOW 2021'!$A25)</f>
        <v>-50</v>
      </c>
      <c r="G25" s="71">
        <f>SUMIFS('CASH BOOK 2021'!$K:$K,'CASH BOOK 2021'!$B:$B,'CASHFLOW 2021'!G$1,'CASH BOOK 2021'!$D:$D,'CASHFLOW 2021'!$A25)</f>
        <v>0</v>
      </c>
      <c r="H25" s="71">
        <f>SUMIFS('CASH BOOK 2021'!$K:$K,'CASH BOOK 2021'!$B:$B,'CASHFLOW 2021'!H$1,'CASH BOOK 2021'!$D:$D,'CASHFLOW 2021'!$A25)</f>
        <v>-35</v>
      </c>
      <c r="I25" s="71">
        <f>SUMIFS('CASH BOOK 2021'!$K:$K,'CASH BOOK 2021'!$B:$B,'CASHFLOW 2021'!I$1,'CASH BOOK 2021'!$D:$D,'CASHFLOW 2021'!$A25)</f>
        <v>-369.1</v>
      </c>
      <c r="J25" s="71">
        <f>SUMIFS('CASH BOOK 2021'!$K:$K,'CASH BOOK 2021'!$B:$B,'CASHFLOW 2021'!J$1,'CASH BOOK 2021'!$D:$D,'CASHFLOW 2021'!$A25)</f>
        <v>0</v>
      </c>
      <c r="K25" s="71">
        <f>SUMIFS('CASH BOOK 2021'!$K:$K,'CASH BOOK 2021'!$B:$B,'CASHFLOW 2021'!K$1,'CASH BOOK 2021'!$D:$D,'CASHFLOW 2021'!$A25)</f>
        <v>0</v>
      </c>
      <c r="L25" s="71">
        <f>SUMIFS('CASH BOOK 2021'!$K:$K,'CASH BOOK 2021'!$B:$B,'CASHFLOW 2021'!L$1,'CASH BOOK 2021'!$D:$D,'CASHFLOW 2021'!$A25)</f>
        <v>0</v>
      </c>
      <c r="M25" s="71">
        <f>SUMIFS('CASH BOOK 2021'!$K:$K,'CASH BOOK 2021'!$B:$B,'CASHFLOW 2021'!M$1,'CASH BOOK 2021'!$D:$D,'CASHFLOW 2021'!$A25)</f>
        <v>0</v>
      </c>
      <c r="N25" s="71">
        <f>SUMIFS('CASH BOOK 2021'!$K:$K,'CASH BOOK 2021'!$B:$B,'CASHFLOW 2021'!N$1,'CASH BOOK 2021'!$D:$D,'CASHFLOW 2021'!$A25)</f>
        <v>0</v>
      </c>
      <c r="O25" s="71">
        <f>SUMIFS('CASH BOOK 2021'!$K:$K,'CASH BOOK 2021'!$B:$B,'CASHFLOW 2021'!O$1,'CASH BOOK 2021'!$D:$D,'CASHFLOW 2021'!$A25)</f>
        <v>0</v>
      </c>
      <c r="P25" s="69">
        <f t="shared" si="2"/>
        <v>-1059.0999999999999</v>
      </c>
      <c r="Q25" s="70">
        <v>1300</v>
      </c>
      <c r="T25" s="247"/>
    </row>
    <row r="26" spans="1:20" ht="15.5" x14ac:dyDescent="0.35">
      <c r="A26" s="9" t="s">
        <v>468</v>
      </c>
      <c r="C26" s="68"/>
      <c r="D26" s="71">
        <f>SUMIFS('CASH BOOK 2021'!$K:$K,'CASH BOOK 2021'!$B:$B,'CASHFLOW 2021'!D$1,'CASH BOOK 2021'!$D:$D,'CASHFLOW 2021'!$A26)</f>
        <v>0</v>
      </c>
      <c r="E26" s="71">
        <f>SUMIFS('CASH BOOK 2021'!$K:$K,'CASH BOOK 2021'!$B:$B,'CASHFLOW 2021'!E$1,'CASH BOOK 2021'!$D:$D,'CASHFLOW 2021'!$A26)</f>
        <v>0</v>
      </c>
      <c r="F26" s="71">
        <f>SUMIFS('CASH BOOK 2021'!$K:$K,'CASH BOOK 2021'!$B:$B,'CASHFLOW 2021'!F$1,'CASH BOOK 2021'!$D:$D,'CASHFLOW 2021'!$A26)</f>
        <v>0</v>
      </c>
      <c r="G26" s="71">
        <f>SUMIFS('CASH BOOK 2021'!$K:$K,'CASH BOOK 2021'!$B:$B,'CASHFLOW 2021'!G$1,'CASH BOOK 2021'!$D:$D,'CASHFLOW 2021'!$A26)</f>
        <v>0</v>
      </c>
      <c r="H26" s="71">
        <f>SUMIFS('CASH BOOK 2021'!$K:$K,'CASH BOOK 2021'!$B:$B,'CASHFLOW 2021'!H$1,'CASH BOOK 2021'!$D:$D,'CASHFLOW 2021'!$A26)</f>
        <v>0</v>
      </c>
      <c r="I26" s="71">
        <f>SUMIFS('CASH BOOK 2021'!$K:$K,'CASH BOOK 2021'!$B:$B,'CASHFLOW 2021'!I$1,'CASH BOOK 2021'!$D:$D,'CASHFLOW 2021'!$A26)</f>
        <v>0</v>
      </c>
      <c r="J26" s="71">
        <f>SUMIFS('CASH BOOK 2021'!$K:$K,'CASH BOOK 2021'!$B:$B,'CASHFLOW 2021'!J$1,'CASH BOOK 2021'!$D:$D,'CASHFLOW 2021'!$A26)</f>
        <v>0</v>
      </c>
      <c r="K26" s="71">
        <f>SUMIFS('CASH BOOK 2021'!$K:$K,'CASH BOOK 2021'!$B:$B,'CASHFLOW 2021'!K$1,'CASH BOOK 2021'!$D:$D,'CASHFLOW 2021'!$A26)</f>
        <v>0</v>
      </c>
      <c r="L26" s="71">
        <f>SUMIFS('CASH BOOK 2021'!$K:$K,'CASH BOOK 2021'!$B:$B,'CASHFLOW 2021'!L$1,'CASH BOOK 2021'!$D:$D,'CASHFLOW 2021'!$A26)</f>
        <v>0</v>
      </c>
      <c r="M26" s="71">
        <f>SUMIFS('CASH BOOK 2021'!$K:$K,'CASH BOOK 2021'!$B:$B,'CASHFLOW 2021'!M$1,'CASH BOOK 2021'!$D:$D,'CASHFLOW 2021'!$A26)</f>
        <v>0</v>
      </c>
      <c r="N26" s="71">
        <f>SUMIFS('CASH BOOK 2021'!$K:$K,'CASH BOOK 2021'!$B:$B,'CASHFLOW 2021'!N$1,'CASH BOOK 2021'!$D:$D,'CASHFLOW 2021'!$A26)</f>
        <v>0</v>
      </c>
      <c r="O26" s="71">
        <f>SUMIFS('CASH BOOK 2021'!$K:$K,'CASH BOOK 2021'!$B:$B,'CASHFLOW 2021'!O$1,'CASH BOOK 2021'!$D:$D,'CASHFLOW 2021'!$A26)</f>
        <v>0</v>
      </c>
      <c r="P26" s="69">
        <f t="shared" si="2"/>
        <v>0</v>
      </c>
      <c r="Q26" s="70">
        <v>150</v>
      </c>
      <c r="T26" s="247"/>
    </row>
    <row r="27" spans="1:20" ht="15.5" x14ac:dyDescent="0.35">
      <c r="A27" s="9" t="s">
        <v>621</v>
      </c>
      <c r="C27" s="68"/>
      <c r="D27" s="71">
        <f>SUMIFS('CASH BOOK 2021'!$K:$K,'CASH BOOK 2021'!$B:$B,'CASHFLOW 2021'!D$1,'CASH BOOK 2021'!$D:$D,'CASHFLOW 2021'!$A27)</f>
        <v>0</v>
      </c>
      <c r="E27" s="71">
        <f>SUMIFS('CASH BOOK 2021'!$K:$K,'CASH BOOK 2021'!$B:$B,'CASHFLOW 2021'!E$1,'CASH BOOK 2021'!$D:$D,'CASHFLOW 2021'!$A27)</f>
        <v>0</v>
      </c>
      <c r="F27" s="71">
        <f>SUMIFS('CASH BOOK 2021'!$K:$K,'CASH BOOK 2021'!$B:$B,'CASHFLOW 2021'!F$1,'CASH BOOK 2021'!$D:$D,'CASHFLOW 2021'!$A27)</f>
        <v>0</v>
      </c>
      <c r="G27" s="71">
        <f>SUMIFS('CASH BOOK 2021'!$K:$K,'CASH BOOK 2021'!$B:$B,'CASHFLOW 2021'!G$1,'CASH BOOK 2021'!$D:$D,'CASHFLOW 2021'!$A27)</f>
        <v>0</v>
      </c>
      <c r="H27" s="71">
        <f>SUMIFS('CASH BOOK 2021'!$K:$K,'CASH BOOK 2021'!$B:$B,'CASHFLOW 2021'!H$1,'CASH BOOK 2021'!$D:$D,'CASHFLOW 2021'!$A27)</f>
        <v>-50</v>
      </c>
      <c r="I27" s="71">
        <f>SUMIFS('CASH BOOK 2021'!$K:$K,'CASH BOOK 2021'!$B:$B,'CASHFLOW 2021'!I$1,'CASH BOOK 2021'!$D:$D,'CASHFLOW 2021'!$A27)</f>
        <v>0</v>
      </c>
      <c r="J27" s="71">
        <f>SUMIFS('CASH BOOK 2021'!$K:$K,'CASH BOOK 2021'!$B:$B,'CASHFLOW 2021'!J$1,'CASH BOOK 2021'!$D:$D,'CASHFLOW 2021'!$A27)</f>
        <v>-31.9</v>
      </c>
      <c r="K27" s="71">
        <f>SUMIFS('CASH BOOK 2021'!$K:$K,'CASH BOOK 2021'!$B:$B,'CASHFLOW 2021'!K$1,'CASH BOOK 2021'!$D:$D,'CASHFLOW 2021'!$A27)</f>
        <v>0</v>
      </c>
      <c r="L27" s="71">
        <f>SUMIFS('CASH BOOK 2021'!$K:$K,'CASH BOOK 2021'!$B:$B,'CASHFLOW 2021'!L$1,'CASH BOOK 2021'!$D:$D,'CASHFLOW 2021'!$A27)</f>
        <v>-17.27</v>
      </c>
      <c r="M27" s="71">
        <f>SUMIFS('CASH BOOK 2021'!$K:$K,'CASH BOOK 2021'!$B:$B,'CASHFLOW 2021'!M$1,'CASH BOOK 2021'!$D:$D,'CASHFLOW 2021'!$A27)</f>
        <v>-50</v>
      </c>
      <c r="N27" s="71">
        <f>SUMIFS('CASH BOOK 2021'!$K:$K,'CASH BOOK 2021'!$B:$B,'CASHFLOW 2021'!N$1,'CASH BOOK 2021'!$D:$D,'CASHFLOW 2021'!$A27)</f>
        <v>-489</v>
      </c>
      <c r="O27" s="71">
        <f>SUMIFS('CASH BOOK 2021'!$K:$K,'CASH BOOK 2021'!$B:$B,'CASHFLOW 2021'!O$1,'CASH BOOK 2021'!$D:$D,'CASHFLOW 2021'!$A27)</f>
        <v>-34</v>
      </c>
      <c r="P27" s="69">
        <f t="shared" si="2"/>
        <v>-672.17000000000007</v>
      </c>
      <c r="Q27" s="70">
        <v>500</v>
      </c>
      <c r="T27" s="247"/>
    </row>
    <row r="28" spans="1:20" ht="15.5" x14ac:dyDescent="0.35">
      <c r="A28" s="9" t="s">
        <v>1332</v>
      </c>
      <c r="C28" s="68"/>
      <c r="D28" s="71">
        <f>SUMIFS('CASH BOOK 2021'!$K:$K,'CASH BOOK 2021'!$B:$B,'CASHFLOW 2021'!D$1,'CASH BOOK 2021'!$D:$D,'CASHFLOW 2021'!$A28)</f>
        <v>0</v>
      </c>
      <c r="E28" s="71">
        <f>SUMIFS('CASH BOOK 2021'!$K:$K,'CASH BOOK 2021'!$B:$B,'CASHFLOW 2021'!E$1,'CASH BOOK 2021'!$D:$D,'CASHFLOW 2021'!$A28)</f>
        <v>0</v>
      </c>
      <c r="F28" s="71">
        <f>SUMIFS('CASH BOOK 2021'!$K:$K,'CASH BOOK 2021'!$B:$B,'CASHFLOW 2021'!F$1,'CASH BOOK 2021'!$D:$D,'CASHFLOW 2021'!$A28)</f>
        <v>0</v>
      </c>
      <c r="G28" s="71">
        <f>SUMIFS('CASH BOOK 2021'!$K:$K,'CASH BOOK 2021'!$B:$B,'CASHFLOW 2021'!G$1,'CASH BOOK 2021'!$D:$D,'CASHFLOW 2021'!$A28)</f>
        <v>0</v>
      </c>
      <c r="H28" s="71">
        <f>SUMIFS('CASH BOOK 2021'!$K:$K,'CASH BOOK 2021'!$B:$B,'CASHFLOW 2021'!H$1,'CASH BOOK 2021'!$D:$D,'CASHFLOW 2021'!$A28)</f>
        <v>0</v>
      </c>
      <c r="I28" s="71">
        <f>SUMIFS('CASH BOOK 2021'!$K:$K,'CASH BOOK 2021'!$B:$B,'CASHFLOW 2021'!I$1,'CASH BOOK 2021'!$D:$D,'CASHFLOW 2021'!$A28)</f>
        <v>0</v>
      </c>
      <c r="J28" s="71">
        <f>SUMIFS('CASH BOOK 2021'!$K:$K,'CASH BOOK 2021'!$B:$B,'CASHFLOW 2021'!J$1,'CASH BOOK 2021'!$D:$D,'CASHFLOW 2021'!$A28)</f>
        <v>0</v>
      </c>
      <c r="K28" s="71">
        <f>SUMIFS('CASH BOOK 2021'!$K:$K,'CASH BOOK 2021'!$B:$B,'CASHFLOW 2021'!K$1,'CASH BOOK 2021'!$D:$D,'CASHFLOW 2021'!$A28)</f>
        <v>0</v>
      </c>
      <c r="L28" s="71">
        <f>SUMIFS('CASH BOOK 2021'!$K:$K,'CASH BOOK 2021'!$B:$B,'CASHFLOW 2021'!L$1,'CASH BOOK 2021'!$D:$D,'CASHFLOW 2021'!$A28)</f>
        <v>0</v>
      </c>
      <c r="M28" s="71">
        <f>SUMIFS('CASH BOOK 2021'!$K:$K,'CASH BOOK 2021'!$B:$B,'CASHFLOW 2021'!M$1,'CASH BOOK 2021'!$D:$D,'CASHFLOW 2021'!$A28)</f>
        <v>0</v>
      </c>
      <c r="N28" s="71">
        <f>SUMIFS('CASH BOOK 2021'!$K:$K,'CASH BOOK 2021'!$B:$B,'CASHFLOW 2021'!N$1,'CASH BOOK 2021'!$D:$D,'CASHFLOW 2021'!$A28)</f>
        <v>0</v>
      </c>
      <c r="O28" s="71">
        <f>SUMIFS('CASH BOOK 2021'!$K:$K,'CASH BOOK 2021'!$B:$B,'CASHFLOW 2021'!O$1,'CASH BOOK 2021'!$D:$D,'CASHFLOW 2021'!$A28)</f>
        <v>-5000</v>
      </c>
      <c r="P28" s="69">
        <f>SUM(D28:O28)</f>
        <v>-5000</v>
      </c>
      <c r="Q28" s="70"/>
      <c r="T28" s="247"/>
    </row>
    <row r="29" spans="1:20" ht="15.5" x14ac:dyDescent="0.35">
      <c r="C29" s="68"/>
      <c r="D29" s="71">
        <f>SUMIFS('CASH BOOK 2021'!$K:$K,'CASH BOOK 2021'!$B:$B,'CASHFLOW 2021'!D$1,'CASH BOOK 2021'!$D:$D,'CASHFLOW 2021'!$A29)</f>
        <v>0</v>
      </c>
      <c r="E29" s="71">
        <f>SUMIFS('CASH BOOK 2021'!$K:$K,'CASH BOOK 2021'!$B:$B,'CASHFLOW 2021'!E$1,'CASH BOOK 2021'!$D:$D,'CASHFLOW 2021'!$A29)</f>
        <v>0</v>
      </c>
      <c r="F29" s="71">
        <f>SUMIFS('CASH BOOK 2021'!$K:$K,'CASH BOOK 2021'!$B:$B,'CASHFLOW 2021'!F$1,'CASH BOOK 2021'!$D:$D,'CASHFLOW 2021'!$A29)</f>
        <v>0</v>
      </c>
      <c r="G29" s="71">
        <f>SUMIFS('CASH BOOK 2021'!$K:$K,'CASH BOOK 2021'!$B:$B,'CASHFLOW 2021'!G$1,'CASH BOOK 2021'!$D:$D,'CASHFLOW 2021'!$A29)</f>
        <v>0</v>
      </c>
      <c r="H29" s="71">
        <f>SUMIFS('CASH BOOK 2021'!$K:$K,'CASH BOOK 2021'!$B:$B,'CASHFLOW 2021'!H$1,'CASH BOOK 2021'!$D:$D,'CASHFLOW 2021'!$A29)</f>
        <v>0</v>
      </c>
      <c r="I29" s="71">
        <f>SUMIFS('CASH BOOK 2021'!$K:$K,'CASH BOOK 2021'!$B:$B,'CASHFLOW 2021'!I$1,'CASH BOOK 2021'!$D:$D,'CASHFLOW 2021'!$A29)</f>
        <v>0</v>
      </c>
      <c r="J29" s="71">
        <f>SUMIFS('CASH BOOK 2021'!$K:$K,'CASH BOOK 2021'!$B:$B,'CASHFLOW 2021'!J$1,'CASH BOOK 2021'!$D:$D,'CASHFLOW 2021'!$A29)</f>
        <v>0</v>
      </c>
      <c r="K29" s="71">
        <f>'CASH BOOK 2021'!H155</f>
        <v>0</v>
      </c>
      <c r="L29" s="71">
        <f>SUMIFS('CASH BOOK 2021'!$K:$K,'CASH BOOK 2021'!$B:$B,'CASHFLOW 2021'!L$1,'CASH BOOK 2021'!$D:$D,'CASHFLOW 2021'!$A29)</f>
        <v>0</v>
      </c>
      <c r="M29" s="71">
        <f>SUMIFS('CASH BOOK 2021'!$K:$K,'CASH BOOK 2021'!$B:$B,'CASHFLOW 2021'!M$1,'CASH BOOK 2021'!$D:$D,'CASHFLOW 2021'!$A29)</f>
        <v>0</v>
      </c>
      <c r="N29" s="71">
        <f>SUMIFS('CASH BOOK 2021'!$K:$K,'CASH BOOK 2021'!$B:$B,'CASHFLOW 2021'!N$1,'CASH BOOK 2021'!$D:$D,'CASHFLOW 2021'!$A29)</f>
        <v>0</v>
      </c>
      <c r="O29" s="71">
        <f>SUMIFS('CASH BOOK 2021'!$K:$K,'CASH BOOK 2021'!$B:$B,'CASHFLOW 2021'!O$1,'CASH BOOK 2021'!$D:$D,'CASHFLOW 2021'!$A29)</f>
        <v>0</v>
      </c>
      <c r="P29" s="69">
        <f t="shared" si="2"/>
        <v>0</v>
      </c>
      <c r="Q29" s="70">
        <v>0</v>
      </c>
      <c r="T29" s="247"/>
    </row>
    <row r="30" spans="1:20" ht="15.5" x14ac:dyDescent="0.35">
      <c r="C30" s="68"/>
      <c r="D30" s="72">
        <f>SUM(D14:D29)</f>
        <v>-1571.3400000000001</v>
      </c>
      <c r="E30" s="72">
        <f>SUM(E14:E29)</f>
        <v>-1068.96</v>
      </c>
      <c r="F30" s="72">
        <f>SUM(F14:F29)</f>
        <v>-2553.8499999999995</v>
      </c>
      <c r="G30" s="72">
        <f>SUM(G14:G29)</f>
        <v>-1601.41</v>
      </c>
      <c r="H30" s="72">
        <f>SUM(H14:H29)</f>
        <v>-1092.92</v>
      </c>
      <c r="I30" s="72">
        <f t="shared" ref="I30:P30" si="3">SUM(I14:I29)</f>
        <v>-2252.4299999999998</v>
      </c>
      <c r="J30" s="72">
        <f t="shared" si="3"/>
        <v>-711.8</v>
      </c>
      <c r="K30" s="72">
        <f t="shared" si="3"/>
        <v>-1797.3800000000003</v>
      </c>
      <c r="L30" s="72">
        <f t="shared" si="3"/>
        <v>-763.66</v>
      </c>
      <c r="M30" s="72">
        <f t="shared" si="3"/>
        <v>-1321.3600000000001</v>
      </c>
      <c r="N30" s="72">
        <f t="shared" si="3"/>
        <v>-1389.61</v>
      </c>
      <c r="O30" s="72">
        <f t="shared" si="3"/>
        <v>-6093.09</v>
      </c>
      <c r="P30" s="72">
        <f t="shared" si="3"/>
        <v>-22217.809999999998</v>
      </c>
      <c r="Q30" s="73">
        <f>SUM(Q14:Q29)</f>
        <v>18630</v>
      </c>
      <c r="T30" s="247"/>
    </row>
    <row r="31" spans="1:20" ht="15.5" x14ac:dyDescent="0.3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  <c r="T31" s="247"/>
    </row>
    <row r="32" spans="1:20" s="80" customFormat="1" ht="15.5" x14ac:dyDescent="0.35">
      <c r="A32" s="80" t="s">
        <v>507</v>
      </c>
      <c r="C32" s="81"/>
      <c r="D32" s="81">
        <f>D12+D30</f>
        <v>1788.6599999999999</v>
      </c>
      <c r="E32" s="81">
        <f t="shared" ref="E32:P32" si="4">E12+E30</f>
        <v>-968.96</v>
      </c>
      <c r="F32" s="81">
        <f t="shared" si="4"/>
        <v>-1871.3499999999995</v>
      </c>
      <c r="G32" s="81">
        <f t="shared" si="4"/>
        <v>2008.59</v>
      </c>
      <c r="H32" s="81">
        <f t="shared" si="4"/>
        <v>-1092.92</v>
      </c>
      <c r="I32" s="81">
        <f t="shared" si="4"/>
        <v>-2027.4299999999998</v>
      </c>
      <c r="J32" s="81">
        <f t="shared" si="4"/>
        <v>-336.79999999999995</v>
      </c>
      <c r="K32" s="81">
        <f t="shared" si="4"/>
        <v>4229.22</v>
      </c>
      <c r="L32" s="81">
        <f t="shared" si="4"/>
        <v>495.22000000000014</v>
      </c>
      <c r="M32" s="81">
        <f t="shared" si="4"/>
        <v>138.13999999999987</v>
      </c>
      <c r="N32" s="81">
        <f t="shared" si="4"/>
        <v>-489.9799999999999</v>
      </c>
      <c r="O32" s="81">
        <f t="shared" si="4"/>
        <v>-5782.09</v>
      </c>
      <c r="P32" s="81">
        <f t="shared" si="4"/>
        <v>-3909.6999999999971</v>
      </c>
      <c r="Q32" s="82">
        <f>Q12-Q30</f>
        <v>-4690</v>
      </c>
      <c r="T32" s="248"/>
    </row>
    <row r="33" spans="1:20" ht="15.5" x14ac:dyDescent="0.3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  <c r="T33" s="249"/>
    </row>
    <row r="34" spans="1:20" ht="16" thickBot="1" x14ac:dyDescent="0.4">
      <c r="T34" s="250"/>
    </row>
    <row r="35" spans="1:20" ht="13.5" thickTop="1" x14ac:dyDescent="0.35">
      <c r="A35" s="9" t="s">
        <v>499</v>
      </c>
      <c r="C35" s="68"/>
      <c r="D35" s="71">
        <f>SUMIFS('CASH BOOK 2021'!$K:$K,'CASH BOOK 2021'!$B:$B,'CASHFLOW 2021'!D$1,'CASH BOOK 2021'!$D:$D,'CASHFLOW 2021'!$A35)</f>
        <v>0</v>
      </c>
      <c r="E35" s="71">
        <f>SUMIFS('CASH BOOK 2021'!$K:$K,'CASH BOOK 2021'!$B:$B,'CASHFLOW 2021'!E$1,'CASH BOOK 2021'!$D:$D,'CASHFLOW 2021'!$A35)</f>
        <v>0</v>
      </c>
      <c r="F35" s="71">
        <f>SUMIFS('CASH BOOK 2021'!$K:$K,'CASH BOOK 2021'!$B:$B,'CASHFLOW 2021'!F$1,'CASH BOOK 2021'!$D:$D,'CASHFLOW 2021'!$A35)</f>
        <v>0</v>
      </c>
      <c r="G35" s="71">
        <f>SUMIFS('CASH BOOK 2021'!$K:$K,'CASH BOOK 2021'!$B:$B,'CASHFLOW 2021'!G$1,'CASH BOOK 2021'!$D:$D,'CASHFLOW 2021'!$A35)</f>
        <v>0</v>
      </c>
      <c r="H35" s="71">
        <f>SUMIFS('CASH BOOK 2021'!$K:$K,'CASH BOOK 2021'!$B:$B,'CASHFLOW 2021'!H$1,'CASH BOOK 2021'!$D:$D,'CASHFLOW 2021'!$A35)</f>
        <v>150</v>
      </c>
      <c r="I35" s="71">
        <f>SUMIFS('CASH BOOK 2021'!$K:$K,'CASH BOOK 2021'!$B:$B,'CASHFLOW 2021'!I$1,'CASH BOOK 2021'!$D:$D,'CASHFLOW 2021'!$A35)</f>
        <v>183</v>
      </c>
      <c r="J35" s="71">
        <f>SUMIFS('CASH BOOK 2021'!$K:$K,'CASH BOOK 2021'!$B:$B,'CASHFLOW 2021'!J$1,'CASH BOOK 2021'!$D:$D,'CASHFLOW 2021'!$A35)</f>
        <v>100</v>
      </c>
      <c r="K35" s="71">
        <f>SUMIFS('CASH BOOK 2021'!$K:$K,'CASH BOOK 2021'!$B:$B,'CASHFLOW 2021'!K$1,'CASH BOOK 2021'!$D:$D,'CASHFLOW 2021'!$A35)</f>
        <v>283</v>
      </c>
      <c r="L35" s="71">
        <f>SUMIFS('CASH BOOK 2021'!$K:$K,'CASH BOOK 2021'!$B:$B,'CASHFLOW 2021'!L$1,'CASH BOOK 2021'!$D:$D,'CASHFLOW 2021'!$A35)</f>
        <v>300</v>
      </c>
      <c r="M35" s="71">
        <f>SUMIFS('CASH BOOK 2021'!$K:$K,'CASH BOOK 2021'!$B:$B,'CASHFLOW 2021'!M$1,'CASH BOOK 2021'!$D:$D,'CASHFLOW 2021'!$A35)</f>
        <v>150</v>
      </c>
      <c r="N35" s="71">
        <f>SUMIFS('CASH BOOK 2021'!$K:$K,'CASH BOOK 2021'!$B:$B,'CASHFLOW 2021'!N$1,'CASH BOOK 2021'!$D:$D,'CASHFLOW 2021'!$A35)</f>
        <v>600</v>
      </c>
      <c r="O35" s="71">
        <f>SUMIFS('CASH BOOK 2021'!$K:$K,'CASH BOOK 2021'!$B:$B,'CASHFLOW 2021'!O$1,'CASH BOOK 2021'!$D:$D,'CASHFLOW 2021'!$A35)</f>
        <v>150</v>
      </c>
      <c r="P35" s="69">
        <f>SUM(D35:O35)</f>
        <v>1916</v>
      </c>
      <c r="Q35" s="70"/>
      <c r="R35" s="93" t="s">
        <v>522</v>
      </c>
      <c r="S35" s="94"/>
    </row>
    <row r="36" spans="1:20" x14ac:dyDescent="0.35">
      <c r="A36" s="9" t="s">
        <v>504</v>
      </c>
      <c r="C36" s="68"/>
      <c r="D36" s="71">
        <f>SUMIFS('CASH BOOK 2021'!$K:$K,'CASH BOOK 2021'!$B:$B,'CASHFLOW 2021'!D$1,'CASH BOOK 2021'!$D:$D,'CASHFLOW 2021'!$A36)</f>
        <v>0</v>
      </c>
      <c r="E36" s="71">
        <f>SUMIFS('CASH BOOK 2021'!$K:$K,'CASH BOOK 2021'!$B:$B,'CASHFLOW 2021'!E$1,'CASH BOOK 2021'!$D:$D,'CASHFLOW 2021'!$A36)</f>
        <v>0</v>
      </c>
      <c r="F36" s="71">
        <f>SUMIFS('CASH BOOK 2021'!$K:$K,'CASH BOOK 2021'!$B:$B,'CASHFLOW 2021'!F$1,'CASH BOOK 2021'!$D:$D,'CASHFLOW 2021'!$A36)</f>
        <v>0</v>
      </c>
      <c r="G36" s="71">
        <f>SUMIFS('CASH BOOK 2021'!$K:$K,'CASH BOOK 2021'!$B:$B,'CASHFLOW 2021'!G$1,'CASH BOOK 2021'!$D:$D,'CASHFLOW 2021'!$A36)</f>
        <v>0</v>
      </c>
      <c r="H36" s="71">
        <f>SUMIFS('CASH BOOK 2021'!$K:$K,'CASH BOOK 2021'!$B:$B,'CASHFLOW 2021'!H$1,'CASH BOOK 2021'!$D:$D,'CASHFLOW 2021'!$A36)</f>
        <v>0</v>
      </c>
      <c r="I36" s="71">
        <f>SUMIFS('CASH BOOK 2021'!$K:$K,'CASH BOOK 2021'!$B:$B,'CASHFLOW 2021'!I$1,'CASH BOOK 2021'!$D:$D,'CASHFLOW 2021'!$A36)</f>
        <v>0</v>
      </c>
      <c r="J36" s="71">
        <f>SUMIFS('CASH BOOK 2021'!$K:$K,'CASH BOOK 2021'!$B:$B,'CASHFLOW 2021'!J$1,'CASH BOOK 2021'!$D:$D,'CASHFLOW 2021'!$A36)</f>
        <v>-100</v>
      </c>
      <c r="K36" s="71">
        <f>SUMIFS('CASH BOOK 2021'!$K:$K,'CASH BOOK 2021'!$B:$B,'CASHFLOW 2021'!K$1,'CASH BOOK 2021'!$D:$D,'CASHFLOW 2021'!$A36)</f>
        <v>-350</v>
      </c>
      <c r="L36" s="71">
        <f>SUMIFS('CASH BOOK 2021'!$K:$K,'CASH BOOK 2021'!$B:$B,'CASHFLOW 2021'!L$1,'CASH BOOK 2021'!$D:$D,'CASHFLOW 2021'!$A36)</f>
        <v>-150</v>
      </c>
      <c r="M36" s="71">
        <f>SUMIFS('CASH BOOK 2021'!$K:$K,'CASH BOOK 2021'!$B:$B,'CASHFLOW 2021'!M$1,'CASH BOOK 2021'!$D:$D,'CASHFLOW 2021'!$A36)</f>
        <v>-150</v>
      </c>
      <c r="N36" s="71">
        <f>SUMIFS('CASH BOOK 2021'!$K:$K,'CASH BOOK 2021'!$B:$B,'CASHFLOW 2021'!N$1,'CASH BOOK 2021'!$D:$D,'CASHFLOW 2021'!$A36)</f>
        <v>-133</v>
      </c>
      <c r="O36" s="71">
        <f>SUMIFS('CASH BOOK 2021'!$K:$K,'CASH BOOK 2021'!$B:$B,'CASHFLOW 2021'!O$1,'CASH BOOK 2021'!$D:$D,'CASHFLOW 2021'!$A36)</f>
        <v>-300</v>
      </c>
      <c r="P36" s="69">
        <f>SUM(D36:O36)</f>
        <v>-1183</v>
      </c>
      <c r="Q36" s="70"/>
      <c r="R36" s="95"/>
      <c r="S36" s="96"/>
    </row>
    <row r="37" spans="1:20" s="80" customFormat="1" ht="13.5" thickBot="1" x14ac:dyDescent="0.4">
      <c r="A37" s="80" t="s">
        <v>506</v>
      </c>
      <c r="C37" s="119">
        <v>320</v>
      </c>
      <c r="D37" s="90">
        <f>SUM(D35:D36)</f>
        <v>0</v>
      </c>
      <c r="E37" s="90">
        <f t="shared" ref="E37:P37" si="5">SUM(E35:E36)</f>
        <v>0</v>
      </c>
      <c r="F37" s="90">
        <f t="shared" si="5"/>
        <v>0</v>
      </c>
      <c r="G37" s="90">
        <f t="shared" si="5"/>
        <v>0</v>
      </c>
      <c r="H37" s="90">
        <f t="shared" si="5"/>
        <v>150</v>
      </c>
      <c r="I37" s="90">
        <f t="shared" si="5"/>
        <v>183</v>
      </c>
      <c r="J37" s="90">
        <f t="shared" si="5"/>
        <v>0</v>
      </c>
      <c r="K37" s="90">
        <f t="shared" si="5"/>
        <v>-67</v>
      </c>
      <c r="L37" s="90">
        <f t="shared" si="5"/>
        <v>150</v>
      </c>
      <c r="M37" s="90">
        <f t="shared" si="5"/>
        <v>0</v>
      </c>
      <c r="N37" s="90">
        <f t="shared" si="5"/>
        <v>467</v>
      </c>
      <c r="O37" s="90">
        <f t="shared" si="5"/>
        <v>-150</v>
      </c>
      <c r="P37" s="90">
        <f t="shared" si="5"/>
        <v>733</v>
      </c>
      <c r="Q37" s="91"/>
      <c r="R37" s="97">
        <f>C37+P37</f>
        <v>1053</v>
      </c>
      <c r="S37" s="98"/>
    </row>
    <row r="38" spans="1:20" ht="13.5" thickTop="1" x14ac:dyDescent="0.3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1:20" s="80" customFormat="1" x14ac:dyDescent="0.35">
      <c r="A39" s="80" t="s">
        <v>508</v>
      </c>
      <c r="C39" s="81">
        <v>8902.26</v>
      </c>
      <c r="D39" s="84">
        <f t="shared" ref="D39:O39" si="6">C39+D32+D37</f>
        <v>10690.92</v>
      </c>
      <c r="E39" s="84">
        <f t="shared" si="6"/>
        <v>9721.9599999999991</v>
      </c>
      <c r="F39" s="84">
        <f t="shared" si="6"/>
        <v>7850.61</v>
      </c>
      <c r="G39" s="84">
        <f t="shared" si="6"/>
        <v>9859.1999999999989</v>
      </c>
      <c r="H39" s="84">
        <f t="shared" si="6"/>
        <v>8916.2799999999988</v>
      </c>
      <c r="I39" s="84">
        <f t="shared" si="6"/>
        <v>7071.8499999999985</v>
      </c>
      <c r="J39" s="84">
        <f t="shared" si="6"/>
        <v>6735.0499999999984</v>
      </c>
      <c r="K39" s="84">
        <f t="shared" si="6"/>
        <v>10897.269999999999</v>
      </c>
      <c r="L39" s="84">
        <f t="shared" si="6"/>
        <v>11542.489999999998</v>
      </c>
      <c r="M39" s="84">
        <f t="shared" si="6"/>
        <v>11680.629999999997</v>
      </c>
      <c r="N39" s="84">
        <f t="shared" si="6"/>
        <v>11657.649999999998</v>
      </c>
      <c r="O39" s="84">
        <f t="shared" si="6"/>
        <v>5725.5599999999977</v>
      </c>
      <c r="P39" s="84">
        <f>O39</f>
        <v>5725.5599999999977</v>
      </c>
      <c r="Q39" s="82"/>
    </row>
    <row r="40" spans="1:20" s="80" customFormat="1" x14ac:dyDescent="0.35">
      <c r="A40" s="80" t="s">
        <v>1331</v>
      </c>
      <c r="C40" s="81">
        <v>30058.76</v>
      </c>
      <c r="D40" s="84">
        <f>-D28</f>
        <v>0</v>
      </c>
      <c r="E40" s="84">
        <f t="shared" ref="E40:O40" si="7">-E28</f>
        <v>0</v>
      </c>
      <c r="F40" s="84">
        <f t="shared" si="7"/>
        <v>0</v>
      </c>
      <c r="G40" s="84">
        <f t="shared" si="7"/>
        <v>0</v>
      </c>
      <c r="H40" s="84">
        <f t="shared" si="7"/>
        <v>0</v>
      </c>
      <c r="I40" s="84">
        <f t="shared" si="7"/>
        <v>0</v>
      </c>
      <c r="J40" s="84">
        <f t="shared" si="7"/>
        <v>0</v>
      </c>
      <c r="K40" s="84">
        <f t="shared" si="7"/>
        <v>0</v>
      </c>
      <c r="L40" s="84">
        <f t="shared" si="7"/>
        <v>0</v>
      </c>
      <c r="M40" s="84">
        <f t="shared" si="7"/>
        <v>0</v>
      </c>
      <c r="N40" s="84">
        <f t="shared" si="7"/>
        <v>0</v>
      </c>
      <c r="O40" s="84">
        <f t="shared" si="7"/>
        <v>5000</v>
      </c>
      <c r="P40" s="90">
        <f>SUM(C40:O40)</f>
        <v>35058.759999999995</v>
      </c>
      <c r="Q40" s="82"/>
    </row>
    <row r="41" spans="1:20" s="80" customFormat="1" x14ac:dyDescent="0.35">
      <c r="A41" s="80" t="s">
        <v>1399</v>
      </c>
      <c r="C41" s="81"/>
      <c r="D41" s="84"/>
      <c r="E41" s="84"/>
      <c r="F41" s="84">
        <v>18.32</v>
      </c>
      <c r="G41" s="84"/>
      <c r="H41" s="84"/>
      <c r="I41" s="84"/>
      <c r="J41" s="84"/>
      <c r="K41" s="84"/>
      <c r="L41" s="84">
        <v>19.260000000000002</v>
      </c>
      <c r="M41" s="84"/>
      <c r="N41" s="84"/>
      <c r="O41" s="84"/>
      <c r="P41" s="90">
        <f>SUM(D41:O41)</f>
        <v>37.58</v>
      </c>
      <c r="Q41" s="82"/>
      <c r="R41" s="80">
        <f>+P40+P41</f>
        <v>35096.339999999997</v>
      </c>
    </row>
    <row r="42" spans="1:20" x14ac:dyDescent="0.35">
      <c r="C42" s="68"/>
      <c r="D42" s="71">
        <f>SUMIFS('CASH BOOK 2017'!$K:$K,'CASH BOOK 2017'!$B:$B,'CASHFLOW 2021'!D$1,'CASH BOOK 2017'!$D:$D,'CASHFLOW 2021'!$A42)</f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92">
        <f>SUM(D42:O42)</f>
        <v>0</v>
      </c>
      <c r="Q42" s="70">
        <v>0</v>
      </c>
    </row>
    <row r="43" spans="1:20" x14ac:dyDescent="0.35">
      <c r="C43" s="68"/>
      <c r="D43" s="71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>
        <f>SUM(D43:O43)</f>
        <v>0</v>
      </c>
      <c r="Q43" s="70">
        <v>150</v>
      </c>
    </row>
    <row r="44" spans="1:20" s="80" customFormat="1" x14ac:dyDescent="0.35">
      <c r="A44" s="79" t="s">
        <v>509</v>
      </c>
      <c r="B44" s="79"/>
      <c r="C44" s="83"/>
      <c r="D44" s="83">
        <f>SUM(D42:D43)</f>
        <v>0</v>
      </c>
      <c r="E44" s="83">
        <f t="shared" ref="E44:P44" si="8">SUM(E42:E43)</f>
        <v>0</v>
      </c>
      <c r="F44" s="83">
        <f t="shared" si="8"/>
        <v>0</v>
      </c>
      <c r="G44" s="83">
        <f t="shared" si="8"/>
        <v>0</v>
      </c>
      <c r="H44" s="83">
        <f t="shared" si="8"/>
        <v>0</v>
      </c>
      <c r="I44" s="83">
        <f t="shared" si="8"/>
        <v>0</v>
      </c>
      <c r="J44" s="83">
        <f t="shared" si="8"/>
        <v>0</v>
      </c>
      <c r="K44" s="83">
        <f t="shared" si="8"/>
        <v>0</v>
      </c>
      <c r="L44" s="83">
        <f t="shared" si="8"/>
        <v>0</v>
      </c>
      <c r="M44" s="83">
        <f t="shared" si="8"/>
        <v>0</v>
      </c>
      <c r="N44" s="83">
        <f t="shared" si="8"/>
        <v>0</v>
      </c>
      <c r="O44" s="83">
        <f t="shared" si="8"/>
        <v>0</v>
      </c>
      <c r="P44" s="83">
        <f t="shared" si="8"/>
        <v>0</v>
      </c>
      <c r="Q44" s="82"/>
    </row>
    <row r="46" spans="1:20" x14ac:dyDescent="0.35">
      <c r="A46" s="9" t="s">
        <v>15</v>
      </c>
      <c r="C46" s="68">
        <f>'ACCOUNTS 21'!G48</f>
        <v>0</v>
      </c>
      <c r="D46" s="71">
        <f>C46+D44</f>
        <v>0</v>
      </c>
      <c r="E46" s="71">
        <f t="shared" ref="E46:O46" si="9">D46+E44</f>
        <v>0</v>
      </c>
      <c r="F46" s="71">
        <f t="shared" si="9"/>
        <v>0</v>
      </c>
      <c r="G46" s="71">
        <f t="shared" si="9"/>
        <v>0</v>
      </c>
      <c r="H46" s="71">
        <f t="shared" si="9"/>
        <v>0</v>
      </c>
      <c r="I46" s="71">
        <f t="shared" si="9"/>
        <v>0</v>
      </c>
      <c r="J46" s="71">
        <f t="shared" si="9"/>
        <v>0</v>
      </c>
      <c r="K46" s="71">
        <f t="shared" si="9"/>
        <v>0</v>
      </c>
      <c r="L46" s="71">
        <f t="shared" si="9"/>
        <v>0</v>
      </c>
      <c r="M46" s="71">
        <f t="shared" si="9"/>
        <v>0</v>
      </c>
      <c r="N46" s="71">
        <f t="shared" si="9"/>
        <v>0</v>
      </c>
      <c r="O46" s="71">
        <f t="shared" si="9"/>
        <v>0</v>
      </c>
      <c r="P46" s="71">
        <f>O46</f>
        <v>0</v>
      </c>
      <c r="Q46" s="70"/>
    </row>
    <row r="48" spans="1:20" s="85" customFormat="1" x14ac:dyDescent="0.35">
      <c r="A48" s="85" t="s">
        <v>510</v>
      </c>
      <c r="C48" s="86"/>
      <c r="D48" s="8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8"/>
      <c r="Q48" s="89"/>
    </row>
    <row r="49" spans="1:17" s="85" customFormat="1" x14ac:dyDescent="0.35">
      <c r="A49" s="85" t="s">
        <v>511</v>
      </c>
      <c r="C49" s="86"/>
      <c r="D49" s="8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8"/>
      <c r="Q49" s="89"/>
    </row>
    <row r="50" spans="1:17" x14ac:dyDescent="0.3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0"/>
    </row>
    <row r="51" spans="1:17" x14ac:dyDescent="0.35"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1:17" x14ac:dyDescent="0.3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70"/>
    </row>
    <row r="53" spans="1:17" x14ac:dyDescent="0.3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/>
    </row>
    <row r="54" spans="1:17" x14ac:dyDescent="0.3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70"/>
    </row>
    <row r="55" spans="1:17" x14ac:dyDescent="0.3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70"/>
    </row>
  </sheetData>
  <phoneticPr fontId="9" type="noConversion"/>
  <pageMargins left="0.75000000000000011" right="0.75000000000000011" top="0.98" bottom="0.98" header="0.51" footer="0.51"/>
  <pageSetup paperSize="9" scale="59" orientation="landscape"/>
  <headerFooter alignWithMargins="0">
    <oddHeader>&amp;L&amp;"Arial,Bold"Year ended 31 December 2017
&amp;C&amp;"Trebuchet MS,Bold"WILLASTON MEMORIAL HALL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6"/>
  <sheetViews>
    <sheetView topLeftCell="A19" workbookViewId="0">
      <selection activeCell="G12" sqref="G12"/>
    </sheetView>
  </sheetViews>
  <sheetFormatPr defaultColWidth="10.90625" defaultRowHeight="12.5" x14ac:dyDescent="0.25"/>
  <sheetData>
    <row r="1" spans="1:9" ht="13" x14ac:dyDescent="0.3">
      <c r="A1" s="30" t="s">
        <v>1471</v>
      </c>
    </row>
    <row r="3" spans="1:9" ht="13" x14ac:dyDescent="0.3">
      <c r="A3" s="23" t="s">
        <v>1472</v>
      </c>
      <c r="B3" s="23"/>
      <c r="C3" s="23"/>
      <c r="D3" s="23" t="s">
        <v>1473</v>
      </c>
      <c r="E3" s="23"/>
      <c r="F3" s="23"/>
      <c r="G3" s="23"/>
      <c r="H3" s="23" t="s">
        <v>1474</v>
      </c>
    </row>
    <row r="5" spans="1:9" ht="13" x14ac:dyDescent="0.3">
      <c r="A5" s="23" t="s">
        <v>1475</v>
      </c>
    </row>
    <row r="6" spans="1:9" x14ac:dyDescent="0.25">
      <c r="A6" t="s">
        <v>174</v>
      </c>
      <c r="B6" t="s">
        <v>1476</v>
      </c>
      <c r="C6">
        <v>3360</v>
      </c>
      <c r="G6">
        <v>3360</v>
      </c>
    </row>
    <row r="7" spans="1:9" x14ac:dyDescent="0.25">
      <c r="B7" t="s">
        <v>1476</v>
      </c>
      <c r="C7">
        <v>3400</v>
      </c>
      <c r="G7">
        <v>3400</v>
      </c>
    </row>
    <row r="8" spans="1:9" x14ac:dyDescent="0.25">
      <c r="B8" t="s">
        <v>1476</v>
      </c>
      <c r="C8">
        <v>4200</v>
      </c>
      <c r="G8">
        <v>4200</v>
      </c>
    </row>
    <row r="9" spans="1:9" x14ac:dyDescent="0.25">
      <c r="A9" t="s">
        <v>1514</v>
      </c>
      <c r="C9">
        <f>1430*0.75</f>
        <v>1072.5</v>
      </c>
      <c r="G9">
        <f>1430*0.75</f>
        <v>1072.5</v>
      </c>
    </row>
    <row r="10" spans="1:9" x14ac:dyDescent="0.25">
      <c r="A10" t="s">
        <v>1515</v>
      </c>
      <c r="C10">
        <f>1008*0.75</f>
        <v>756</v>
      </c>
      <c r="G10">
        <f>1008*0.75</f>
        <v>756</v>
      </c>
    </row>
    <row r="11" spans="1:9" x14ac:dyDescent="0.25">
      <c r="A11" t="s">
        <v>1511</v>
      </c>
      <c r="G11">
        <f>10500*0.1</f>
        <v>1050</v>
      </c>
      <c r="I11" t="s">
        <v>1512</v>
      </c>
    </row>
    <row r="12" spans="1:9" x14ac:dyDescent="0.25">
      <c r="A12" t="s">
        <v>1481</v>
      </c>
      <c r="C12">
        <v>1.5</v>
      </c>
      <c r="G12">
        <v>6.5</v>
      </c>
    </row>
    <row r="14" spans="1:9" x14ac:dyDescent="0.25">
      <c r="A14" t="s">
        <v>1477</v>
      </c>
      <c r="D14">
        <f>SUM(C6:C13)</f>
        <v>12790</v>
      </c>
      <c r="H14">
        <f>SUM(G6:G13)</f>
        <v>13845</v>
      </c>
    </row>
    <row r="16" spans="1:9" ht="13" x14ac:dyDescent="0.3">
      <c r="A16" s="23" t="s">
        <v>1478</v>
      </c>
    </row>
    <row r="17" spans="1:8" x14ac:dyDescent="0.25">
      <c r="A17" t="s">
        <v>1479</v>
      </c>
      <c r="C17">
        <v>500</v>
      </c>
      <c r="G17">
        <v>500</v>
      </c>
    </row>
    <row r="18" spans="1:8" x14ac:dyDescent="0.25">
      <c r="A18" t="s">
        <v>1498</v>
      </c>
      <c r="C18">
        <v>400</v>
      </c>
      <c r="G18">
        <v>400</v>
      </c>
    </row>
    <row r="19" spans="1:8" x14ac:dyDescent="0.25">
      <c r="A19" t="s">
        <v>1480</v>
      </c>
      <c r="G19">
        <f>6600*0.3</f>
        <v>1980</v>
      </c>
    </row>
    <row r="20" spans="1:8" x14ac:dyDescent="0.25">
      <c r="D20">
        <f>SUM(C17:C19)</f>
        <v>900</v>
      </c>
      <c r="H20">
        <f>SUM(G17:G19)</f>
        <v>2880</v>
      </c>
    </row>
    <row r="23" spans="1:8" x14ac:dyDescent="0.25">
      <c r="A23" t="s">
        <v>1482</v>
      </c>
      <c r="D23">
        <v>0</v>
      </c>
      <c r="H23">
        <v>300</v>
      </c>
    </row>
    <row r="25" spans="1:8" ht="13" x14ac:dyDescent="0.3">
      <c r="A25" s="23" t="s">
        <v>260</v>
      </c>
    </row>
    <row r="27" spans="1:8" x14ac:dyDescent="0.25">
      <c r="A27" t="s">
        <v>1483</v>
      </c>
    </row>
    <row r="28" spans="1:8" x14ac:dyDescent="0.25">
      <c r="A28" t="s">
        <v>1484</v>
      </c>
      <c r="D28">
        <v>-5000</v>
      </c>
      <c r="H28">
        <v>-4000</v>
      </c>
    </row>
    <row r="29" spans="1:8" x14ac:dyDescent="0.25">
      <c r="A29" t="s">
        <v>1485</v>
      </c>
      <c r="D29">
        <v>-3500</v>
      </c>
      <c r="H29">
        <v>-3500</v>
      </c>
    </row>
    <row r="30" spans="1:8" x14ac:dyDescent="0.25">
      <c r="A30" t="s">
        <v>1486</v>
      </c>
      <c r="D30">
        <v>-1500</v>
      </c>
      <c r="H30">
        <v>-1500</v>
      </c>
    </row>
    <row r="31" spans="1:8" x14ac:dyDescent="0.25">
      <c r="A31" t="s">
        <v>1487</v>
      </c>
      <c r="D31">
        <v>-1100</v>
      </c>
      <c r="H31">
        <v>-1100</v>
      </c>
    </row>
    <row r="32" spans="1:8" x14ac:dyDescent="0.25">
      <c r="A32" t="s">
        <v>1489</v>
      </c>
      <c r="D32">
        <v>-540</v>
      </c>
      <c r="H32">
        <v>-540</v>
      </c>
    </row>
    <row r="33" spans="1:8" x14ac:dyDescent="0.25">
      <c r="A33" t="s">
        <v>86</v>
      </c>
      <c r="D33">
        <v>-100</v>
      </c>
      <c r="H33">
        <v>-100</v>
      </c>
    </row>
    <row r="34" spans="1:8" x14ac:dyDescent="0.25">
      <c r="A34" t="s">
        <v>1488</v>
      </c>
      <c r="D34">
        <v>-600</v>
      </c>
      <c r="H34">
        <v>-600</v>
      </c>
    </row>
    <row r="35" spans="1:8" ht="13" x14ac:dyDescent="0.3">
      <c r="A35" s="30" t="s">
        <v>12</v>
      </c>
    </row>
    <row r="36" spans="1:8" x14ac:dyDescent="0.25">
      <c r="A36" t="s">
        <v>1513</v>
      </c>
      <c r="C36">
        <f>52.5*45</f>
        <v>2362.5</v>
      </c>
    </row>
    <row r="37" spans="1:8" x14ac:dyDescent="0.25">
      <c r="A37" t="s">
        <v>1490</v>
      </c>
      <c r="C37">
        <v>1080</v>
      </c>
    </row>
    <row r="38" spans="1:8" x14ac:dyDescent="0.25">
      <c r="A38" t="s">
        <v>1491</v>
      </c>
      <c r="C38">
        <v>552</v>
      </c>
    </row>
    <row r="39" spans="1:8" x14ac:dyDescent="0.25">
      <c r="A39" t="s">
        <v>1492</v>
      </c>
      <c r="C39">
        <v>345</v>
      </c>
      <c r="D39">
        <f>-SUM(C36:C39)</f>
        <v>-4339.5</v>
      </c>
      <c r="H39">
        <f>D39</f>
        <v>-4339.5</v>
      </c>
    </row>
    <row r="40" spans="1:8" ht="13" x14ac:dyDescent="0.3">
      <c r="A40" s="30" t="s">
        <v>13</v>
      </c>
    </row>
    <row r="41" spans="1:8" x14ac:dyDescent="0.25">
      <c r="A41" t="s">
        <v>1493</v>
      </c>
      <c r="C41">
        <v>610</v>
      </c>
    </row>
    <row r="42" spans="1:8" x14ac:dyDescent="0.25">
      <c r="A42" t="s">
        <v>1494</v>
      </c>
      <c r="C42">
        <v>605</v>
      </c>
    </row>
    <row r="43" spans="1:8" x14ac:dyDescent="0.25">
      <c r="A43" t="s">
        <v>232</v>
      </c>
      <c r="C43">
        <v>50</v>
      </c>
    </row>
    <row r="44" spans="1:8" x14ac:dyDescent="0.25">
      <c r="A44" t="s">
        <v>1495</v>
      </c>
      <c r="C44">
        <v>35</v>
      </c>
      <c r="D44">
        <f>-SUM(C41:C44)</f>
        <v>-1300</v>
      </c>
      <c r="H44">
        <f>D44</f>
        <v>-1300</v>
      </c>
    </row>
    <row r="45" spans="1:8" x14ac:dyDescent="0.25">
      <c r="A45" t="s">
        <v>1497</v>
      </c>
      <c r="D45">
        <v>-150</v>
      </c>
      <c r="H45">
        <v>-150</v>
      </c>
    </row>
    <row r="46" spans="1:8" x14ac:dyDescent="0.25">
      <c r="A46" t="s">
        <v>1496</v>
      </c>
      <c r="D46">
        <v>-500</v>
      </c>
      <c r="H46">
        <v>-500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340"/>
  <sheetViews>
    <sheetView showGridLines="0" workbookViewId="0">
      <pane ySplit="1" topLeftCell="A235" activePane="bottomLeft" state="frozen"/>
      <selection activeCell="M382" sqref="M382:Q383"/>
      <selection pane="bottomLeft" activeCell="D238" sqref="D238"/>
    </sheetView>
  </sheetViews>
  <sheetFormatPr defaultColWidth="8.7265625" defaultRowHeight="13" outlineLevelCol="1" x14ac:dyDescent="0.3"/>
  <cols>
    <col min="1" max="1" width="8.1796875" style="39" customWidth="1"/>
    <col min="2" max="2" width="8.1796875" style="106" customWidth="1"/>
    <col min="3" max="3" width="20.6328125" style="15" customWidth="1"/>
    <col min="4" max="4" width="19.453125" style="114" customWidth="1"/>
    <col min="5" max="5" width="17.36328125" style="13" customWidth="1" outlineLevel="1"/>
    <col min="6" max="6" width="2.1796875" style="15" customWidth="1"/>
    <col min="7" max="7" width="10.36328125" style="13" customWidth="1"/>
    <col min="8" max="8" width="11.1796875" style="43" bestFit="1" customWidth="1"/>
    <col min="9" max="9" width="16.1796875" style="43" customWidth="1" outlineLevel="1"/>
    <col min="10" max="10" width="10.54296875" style="43" bestFit="1" customWidth="1"/>
    <col min="11" max="11" width="11.36328125" style="43" customWidth="1"/>
    <col min="12" max="12" width="10.6328125" style="43" bestFit="1" customWidth="1"/>
    <col min="13" max="13" width="9.81640625" style="18" customWidth="1"/>
    <col min="14" max="14" width="9.81640625" style="15" bestFit="1" customWidth="1"/>
    <col min="15" max="15" width="8.7265625" style="16" customWidth="1"/>
    <col min="16" max="16" width="8.7265625" style="15"/>
    <col min="17" max="17" width="8.453125" style="11" customWidth="1"/>
    <col min="18" max="19" width="10.08984375" style="15" bestFit="1" customWidth="1"/>
    <col min="20" max="20" width="8.7265625" style="15"/>
    <col min="21" max="21" width="9.81640625" style="15" bestFit="1" customWidth="1"/>
    <col min="22" max="16384" width="8.7265625" style="15"/>
  </cols>
  <sheetData>
    <row r="1" spans="1:16" x14ac:dyDescent="0.3">
      <c r="A1" s="12"/>
      <c r="B1" s="29"/>
      <c r="C1" s="5" t="s">
        <v>41</v>
      </c>
      <c r="D1" s="124"/>
      <c r="E1" s="2"/>
      <c r="G1" s="2" t="s">
        <v>42</v>
      </c>
      <c r="H1" s="41" t="s">
        <v>43</v>
      </c>
      <c r="I1" s="41" t="s">
        <v>494</v>
      </c>
      <c r="J1" s="41" t="s">
        <v>44</v>
      </c>
      <c r="K1" s="41" t="s">
        <v>493</v>
      </c>
      <c r="L1" s="41" t="s">
        <v>45</v>
      </c>
      <c r="M1" s="44" t="s">
        <v>46</v>
      </c>
    </row>
    <row r="2" spans="1:16" x14ac:dyDescent="0.3">
      <c r="B2" s="59"/>
      <c r="C2" s="24" t="s">
        <v>1286</v>
      </c>
      <c r="D2" s="255"/>
      <c r="E2" s="11"/>
      <c r="F2" s="27"/>
      <c r="G2" s="33"/>
      <c r="H2" s="27"/>
      <c r="I2" s="33"/>
      <c r="J2" s="42"/>
      <c r="K2" s="42"/>
      <c r="L2" s="42"/>
      <c r="M2" s="43"/>
      <c r="N2" s="43"/>
      <c r="O2" s="18"/>
    </row>
    <row r="3" spans="1:16" x14ac:dyDescent="0.3">
      <c r="B3" s="59"/>
      <c r="C3" s="12"/>
      <c r="D3" s="29"/>
      <c r="E3" s="11" t="s">
        <v>110</v>
      </c>
      <c r="F3" s="27"/>
      <c r="G3" s="33"/>
      <c r="H3" s="27"/>
      <c r="I3" s="33"/>
      <c r="J3" s="42"/>
      <c r="K3" s="42"/>
      <c r="L3" s="42"/>
      <c r="M3" s="43">
        <v>23660.86</v>
      </c>
      <c r="N3" s="43"/>
      <c r="O3" s="18"/>
    </row>
    <row r="4" spans="1:16" x14ac:dyDescent="0.3">
      <c r="B4" s="59"/>
      <c r="C4" s="12"/>
      <c r="D4" s="29"/>
      <c r="E4" s="11" t="s">
        <v>111</v>
      </c>
      <c r="F4" s="27"/>
      <c r="H4" s="11"/>
      <c r="I4" s="13"/>
      <c r="M4" s="254" t="s">
        <v>1273</v>
      </c>
      <c r="N4" s="43">
        <f>SUM(M3:M4)</f>
        <v>23660.86</v>
      </c>
      <c r="O4" s="18"/>
    </row>
    <row r="5" spans="1:16" x14ac:dyDescent="0.3">
      <c r="B5" s="59"/>
      <c r="C5" s="12"/>
      <c r="D5" s="29"/>
      <c r="E5" s="11"/>
      <c r="F5" s="27"/>
      <c r="H5" s="11"/>
      <c r="I5" s="13"/>
      <c r="M5" s="43"/>
      <c r="N5" s="43"/>
      <c r="O5" s="18"/>
    </row>
    <row r="6" spans="1:16" x14ac:dyDescent="0.3">
      <c r="B6" s="59"/>
      <c r="C6" s="12"/>
      <c r="D6" s="29"/>
      <c r="E6" s="4" t="s">
        <v>1284</v>
      </c>
      <c r="F6" s="27"/>
      <c r="H6" s="11"/>
      <c r="I6" s="13"/>
      <c r="M6" s="43"/>
      <c r="N6" s="43"/>
      <c r="O6" s="18"/>
    </row>
    <row r="7" spans="1:16" x14ac:dyDescent="0.3">
      <c r="B7" s="59"/>
      <c r="C7" s="12"/>
      <c r="D7" s="29"/>
      <c r="E7" s="11"/>
      <c r="F7" s="27"/>
      <c r="H7" s="11"/>
      <c r="I7" s="13"/>
      <c r="M7" s="43"/>
      <c r="N7" s="43"/>
      <c r="O7" s="18"/>
    </row>
    <row r="8" spans="1:16" x14ac:dyDescent="0.3">
      <c r="B8" s="59"/>
      <c r="C8" s="12"/>
      <c r="D8" s="105" t="s">
        <v>483</v>
      </c>
      <c r="E8" s="4" t="s">
        <v>982</v>
      </c>
      <c r="F8" s="252" t="s">
        <v>1223</v>
      </c>
      <c r="G8"/>
      <c r="H8"/>
      <c r="I8" s="207" t="s">
        <v>324</v>
      </c>
      <c r="J8">
        <v>-50</v>
      </c>
      <c r="K8" s="18" t="s">
        <v>1506</v>
      </c>
      <c r="M8" s="43"/>
      <c r="O8" s="18"/>
      <c r="P8" s="274">
        <v>44166</v>
      </c>
    </row>
    <row r="9" spans="1:16" x14ac:dyDescent="0.3">
      <c r="B9" s="59"/>
      <c r="C9" s="12"/>
      <c r="D9" s="105" t="s">
        <v>400</v>
      </c>
      <c r="E9" s="4" t="s">
        <v>1199</v>
      </c>
      <c r="F9" s="244" t="s">
        <v>1220</v>
      </c>
      <c r="G9" s="15"/>
      <c r="H9" t="s">
        <v>1351</v>
      </c>
      <c r="I9" s="15"/>
      <c r="J9">
        <v>-50</v>
      </c>
      <c r="K9" s="254" t="s">
        <v>666</v>
      </c>
      <c r="M9" s="254"/>
      <c r="O9" s="18"/>
      <c r="P9" s="43"/>
    </row>
    <row r="10" spans="1:16" x14ac:dyDescent="0.3">
      <c r="B10" s="59"/>
      <c r="C10" s="12"/>
      <c r="D10" s="105" t="s">
        <v>400</v>
      </c>
      <c r="E10" s="4" t="s">
        <v>1196</v>
      </c>
      <c r="F10" s="244" t="s">
        <v>1219</v>
      </c>
      <c r="G10" s="15"/>
      <c r="H10"/>
      <c r="I10" s="207" t="s">
        <v>324</v>
      </c>
      <c r="J10">
        <v>-50</v>
      </c>
      <c r="K10" s="18" t="s">
        <v>1506</v>
      </c>
      <c r="M10" s="43"/>
      <c r="O10" s="18"/>
      <c r="P10" s="274">
        <v>44166</v>
      </c>
    </row>
    <row r="11" spans="1:16" x14ac:dyDescent="0.3">
      <c r="B11" s="59"/>
      <c r="C11" s="12"/>
      <c r="D11" s="105" t="s">
        <v>400</v>
      </c>
      <c r="E11" s="4" t="s">
        <v>1134</v>
      </c>
      <c r="F11" s="244" t="s">
        <v>1208</v>
      </c>
      <c r="G11" s="15"/>
      <c r="H11"/>
      <c r="I11" s="15"/>
      <c r="J11">
        <v>-50</v>
      </c>
      <c r="K11" s="254" t="s">
        <v>1311</v>
      </c>
      <c r="M11" s="43"/>
      <c r="O11" s="18"/>
      <c r="P11" s="43"/>
    </row>
    <row r="12" spans="1:16" x14ac:dyDescent="0.3">
      <c r="B12" s="59"/>
      <c r="C12" s="12"/>
      <c r="D12" s="108" t="s">
        <v>491</v>
      </c>
      <c r="E12" s="4" t="s">
        <v>1271</v>
      </c>
      <c r="F12" s="52"/>
      <c r="G12" s="15"/>
      <c r="H12" s="15"/>
      <c r="I12" s="15"/>
      <c r="J12">
        <v>-364.5</v>
      </c>
      <c r="K12" s="254" t="s">
        <v>1283</v>
      </c>
      <c r="L12" s="254" t="s">
        <v>90</v>
      </c>
      <c r="M12" s="43"/>
      <c r="O12" s="18"/>
      <c r="P12" s="43"/>
    </row>
    <row r="13" spans="1:16" x14ac:dyDescent="0.3">
      <c r="B13" s="59"/>
      <c r="C13" s="12"/>
      <c r="D13" s="108" t="s">
        <v>491</v>
      </c>
      <c r="E13" s="4" t="s">
        <v>1235</v>
      </c>
      <c r="F13" s="244" t="s">
        <v>1233</v>
      </c>
      <c r="G13" s="15"/>
      <c r="H13"/>
      <c r="I13" s="207" t="s">
        <v>324</v>
      </c>
      <c r="J13">
        <v>-50</v>
      </c>
      <c r="K13" s="18" t="s">
        <v>1506</v>
      </c>
      <c r="M13" s="43"/>
      <c r="O13" s="64"/>
      <c r="P13" s="274">
        <v>44166</v>
      </c>
    </row>
    <row r="14" spans="1:16" x14ac:dyDescent="0.3">
      <c r="B14" s="59"/>
      <c r="C14" s="12"/>
      <c r="D14" s="108" t="s">
        <v>491</v>
      </c>
      <c r="E14" s="4" t="s">
        <v>1249</v>
      </c>
      <c r="F14" s="244" t="s">
        <v>1256</v>
      </c>
      <c r="G14" s="15"/>
      <c r="H14"/>
      <c r="I14" s="207" t="s">
        <v>324</v>
      </c>
      <c r="J14">
        <v>-50</v>
      </c>
      <c r="K14" s="18" t="s">
        <v>1506</v>
      </c>
      <c r="M14" s="43"/>
      <c r="O14" s="18"/>
      <c r="P14" s="274">
        <v>44166</v>
      </c>
    </row>
    <row r="15" spans="1:16" x14ac:dyDescent="0.3">
      <c r="B15" s="59"/>
      <c r="C15" s="12"/>
      <c r="D15" s="105" t="s">
        <v>492</v>
      </c>
      <c r="E15" s="4" t="s">
        <v>1271</v>
      </c>
      <c r="F15" s="52"/>
      <c r="G15" s="15"/>
      <c r="H15" s="15"/>
      <c r="I15" s="15"/>
      <c r="J15">
        <v>-259.2</v>
      </c>
      <c r="K15" s="254" t="s">
        <v>1283</v>
      </c>
      <c r="L15" s="254" t="s">
        <v>90</v>
      </c>
      <c r="M15" s="43"/>
      <c r="N15" s="43"/>
      <c r="O15" s="18"/>
    </row>
    <row r="16" spans="1:16" x14ac:dyDescent="0.3">
      <c r="B16" s="59"/>
      <c r="C16" s="12"/>
      <c r="D16" s="105" t="s">
        <v>492</v>
      </c>
      <c r="E16" s="4" t="s">
        <v>1245</v>
      </c>
      <c r="F16" s="244" t="s">
        <v>1266</v>
      </c>
      <c r="G16" s="15"/>
      <c r="H16"/>
      <c r="I16" s="15"/>
      <c r="J16">
        <v>-100</v>
      </c>
      <c r="K16" s="277">
        <v>43831</v>
      </c>
      <c r="M16" s="43"/>
      <c r="N16" s="43"/>
      <c r="O16" s="18"/>
    </row>
    <row r="17" spans="2:15" x14ac:dyDescent="0.3">
      <c r="B17" s="59"/>
      <c r="C17" s="12"/>
      <c r="D17" s="105" t="s">
        <v>492</v>
      </c>
      <c r="E17" s="4" t="s">
        <v>1276</v>
      </c>
      <c r="F17" s="259" t="s">
        <v>523</v>
      </c>
      <c r="H17" s="15"/>
      <c r="I17" s="13"/>
      <c r="J17" s="260">
        <v>-100</v>
      </c>
      <c r="K17" s="254" t="s">
        <v>1283</v>
      </c>
      <c r="L17" s="254" t="s">
        <v>90</v>
      </c>
      <c r="M17" s="43"/>
      <c r="N17" s="43"/>
      <c r="O17" s="18"/>
    </row>
    <row r="18" spans="2:15" x14ac:dyDescent="0.3">
      <c r="B18" s="59"/>
      <c r="C18" s="12"/>
      <c r="D18" s="105" t="s">
        <v>492</v>
      </c>
      <c r="E18" s="4" t="s">
        <v>1277</v>
      </c>
      <c r="F18" s="244" t="s">
        <v>523</v>
      </c>
      <c r="G18" s="15"/>
      <c r="H18"/>
      <c r="I18" s="15"/>
      <c r="J18">
        <v>-9</v>
      </c>
      <c r="K18" s="254" t="s">
        <v>1283</v>
      </c>
      <c r="L18" s="254" t="s">
        <v>90</v>
      </c>
      <c r="M18" s="43"/>
      <c r="N18" s="43"/>
      <c r="O18" s="18"/>
    </row>
    <row r="19" spans="2:15" x14ac:dyDescent="0.3">
      <c r="B19" s="59"/>
      <c r="C19" s="12"/>
      <c r="D19" s="105" t="s">
        <v>492</v>
      </c>
      <c r="E19" s="4" t="s">
        <v>1246</v>
      </c>
      <c r="F19" s="244"/>
      <c r="G19" s="15"/>
      <c r="H19"/>
      <c r="I19" s="15"/>
      <c r="J19">
        <v>-28.28</v>
      </c>
      <c r="K19" s="254" t="s">
        <v>1291</v>
      </c>
      <c r="L19" s="254" t="s">
        <v>90</v>
      </c>
      <c r="M19" s="43"/>
      <c r="N19" s="43"/>
      <c r="O19" s="18"/>
    </row>
    <row r="20" spans="2:15" x14ac:dyDescent="0.3">
      <c r="B20" s="59"/>
      <c r="C20" s="12"/>
      <c r="D20" s="105" t="s">
        <v>492</v>
      </c>
      <c r="E20" s="4" t="s">
        <v>1287</v>
      </c>
      <c r="F20" s="244"/>
      <c r="G20" s="15"/>
      <c r="H20"/>
      <c r="I20" s="15"/>
      <c r="J20">
        <v>-432</v>
      </c>
      <c r="K20" s="254" t="s">
        <v>1291</v>
      </c>
      <c r="L20" s="254" t="s">
        <v>90</v>
      </c>
      <c r="M20" s="43"/>
      <c r="N20" s="43">
        <f>SUM(J8:J20)</f>
        <v>-1592.98</v>
      </c>
      <c r="O20" s="18"/>
    </row>
    <row r="21" spans="2:15" ht="13.5" thickBot="1" x14ac:dyDescent="0.35">
      <c r="B21" s="59"/>
      <c r="C21" s="12"/>
      <c r="D21" s="29"/>
      <c r="E21" s="11"/>
      <c r="F21" s="52"/>
      <c r="H21" s="15"/>
      <c r="I21" s="13"/>
      <c r="M21" s="43"/>
      <c r="N21" s="43"/>
      <c r="O21" s="18"/>
    </row>
    <row r="22" spans="2:15" ht="13.5" thickBot="1" x14ac:dyDescent="0.35">
      <c r="B22" s="59"/>
      <c r="C22" s="12"/>
      <c r="D22" s="29"/>
      <c r="E22" s="74" t="s">
        <v>1270</v>
      </c>
      <c r="F22" s="27"/>
      <c r="H22" s="11"/>
      <c r="I22" s="13"/>
      <c r="M22" s="43"/>
      <c r="N22" s="256">
        <f>SUM(N3:N21)</f>
        <v>22067.88</v>
      </c>
      <c r="O22" s="18"/>
    </row>
    <row r="23" spans="2:15" ht="13.5" thickTop="1" x14ac:dyDescent="0.3">
      <c r="B23" s="59"/>
      <c r="C23" s="12"/>
      <c r="D23" s="29"/>
      <c r="E23" s="74"/>
      <c r="F23" s="27"/>
      <c r="H23" s="11"/>
      <c r="I23" s="13"/>
      <c r="M23" s="43"/>
      <c r="N23" s="263"/>
      <c r="O23" s="18"/>
    </row>
    <row r="24" spans="2:15" x14ac:dyDescent="0.3">
      <c r="B24" s="59"/>
      <c r="C24" s="12"/>
      <c r="D24" s="29"/>
      <c r="E24" s="74"/>
      <c r="F24" s="27"/>
      <c r="H24" s="11"/>
      <c r="I24" s="13"/>
      <c r="M24" s="43"/>
      <c r="N24" s="263"/>
      <c r="O24" s="18"/>
    </row>
    <row r="25" spans="2:15" x14ac:dyDescent="0.3">
      <c r="B25" s="59"/>
      <c r="C25" s="12"/>
      <c r="D25" s="29"/>
      <c r="E25" s="74"/>
      <c r="F25" s="27"/>
      <c r="H25" s="11"/>
      <c r="I25" s="13"/>
      <c r="M25" s="43"/>
      <c r="N25" s="263"/>
      <c r="O25" s="18"/>
    </row>
    <row r="26" spans="2:15" x14ac:dyDescent="0.3">
      <c r="B26" s="59"/>
      <c r="C26" s="12"/>
      <c r="D26" s="29"/>
      <c r="E26" s="74"/>
      <c r="F26" s="27"/>
      <c r="H26" s="11"/>
      <c r="I26" s="13"/>
      <c r="M26" s="43"/>
      <c r="N26" s="263"/>
      <c r="O26" s="18"/>
    </row>
    <row r="27" spans="2:15" x14ac:dyDescent="0.3">
      <c r="B27" s="59"/>
      <c r="C27" s="12"/>
      <c r="D27" s="12"/>
      <c r="E27" s="257" t="s">
        <v>1272</v>
      </c>
      <c r="F27" s="11"/>
      <c r="G27" s="27"/>
      <c r="H27" s="13"/>
      <c r="I27" s="11"/>
      <c r="J27" s="13"/>
      <c r="M27" s="43"/>
      <c r="N27" s="263"/>
      <c r="O27" s="18"/>
    </row>
    <row r="28" spans="2:15" x14ac:dyDescent="0.3">
      <c r="B28" s="59"/>
      <c r="C28" s="12"/>
      <c r="D28" s="39"/>
      <c r="E28" s="59"/>
      <c r="G28" s="52"/>
      <c r="H28" s="13"/>
      <c r="I28" s="15"/>
      <c r="J28" s="13"/>
      <c r="M28" s="43"/>
      <c r="N28" s="263"/>
      <c r="O28" s="18"/>
    </row>
    <row r="29" spans="2:15" x14ac:dyDescent="0.3">
      <c r="B29" s="59"/>
      <c r="C29" s="12"/>
      <c r="D29" s="109" t="s">
        <v>490</v>
      </c>
      <c r="E29" s="4" t="s">
        <v>1186</v>
      </c>
      <c r="G29" s="132" t="s">
        <v>500</v>
      </c>
      <c r="H29" s="114"/>
      <c r="I29" s="121" t="s">
        <v>815</v>
      </c>
      <c r="J29" s="27"/>
      <c r="K29" s="210"/>
      <c r="L29" s="49">
        <v>50</v>
      </c>
      <c r="M29" s="274">
        <v>43831</v>
      </c>
      <c r="N29" s="263"/>
      <c r="O29" s="18"/>
    </row>
    <row r="30" spans="2:15" x14ac:dyDescent="0.3">
      <c r="B30" s="59"/>
      <c r="C30" s="12"/>
      <c r="D30" s="109" t="s">
        <v>490</v>
      </c>
      <c r="E30" s="4" t="s">
        <v>859</v>
      </c>
      <c r="G30" s="132" t="s">
        <v>500</v>
      </c>
      <c r="H30" s="114"/>
      <c r="I30" s="121" t="s">
        <v>817</v>
      </c>
      <c r="J30" s="27"/>
      <c r="K30" s="210"/>
      <c r="L30" s="49">
        <v>50</v>
      </c>
      <c r="M30" s="274">
        <v>43831</v>
      </c>
      <c r="N30" s="263"/>
      <c r="O30" s="18"/>
    </row>
    <row r="31" spans="2:15" x14ac:dyDescent="0.3">
      <c r="B31" s="59"/>
      <c r="C31" s="12"/>
      <c r="D31" s="105" t="s">
        <v>400</v>
      </c>
      <c r="E31" s="4" t="s">
        <v>1216</v>
      </c>
      <c r="G31" s="132" t="s">
        <v>500</v>
      </c>
      <c r="H31" s="114"/>
      <c r="I31" s="121" t="s">
        <v>845</v>
      </c>
      <c r="J31" s="27"/>
      <c r="K31" s="210"/>
      <c r="L31" s="49">
        <v>50</v>
      </c>
      <c r="M31" s="274">
        <v>43922</v>
      </c>
      <c r="N31" s="263"/>
      <c r="O31" s="18"/>
    </row>
    <row r="32" spans="2:15" x14ac:dyDescent="0.3">
      <c r="B32" s="59"/>
      <c r="C32" s="12"/>
      <c r="D32" s="108" t="s">
        <v>491</v>
      </c>
      <c r="E32" s="4" t="s">
        <v>1239</v>
      </c>
      <c r="G32" s="132" t="s">
        <v>500</v>
      </c>
      <c r="H32" s="114"/>
      <c r="I32" s="121" t="s">
        <v>874</v>
      </c>
      <c r="J32" s="27"/>
      <c r="K32" s="210"/>
      <c r="L32" s="49">
        <v>100</v>
      </c>
      <c r="M32" s="274">
        <v>43862</v>
      </c>
      <c r="N32" s="263"/>
      <c r="O32" s="18"/>
    </row>
    <row r="33" spans="1:15" x14ac:dyDescent="0.3">
      <c r="B33" s="59"/>
      <c r="C33" s="12"/>
      <c r="D33" s="108" t="s">
        <v>491</v>
      </c>
      <c r="E33" s="4" t="s">
        <v>655</v>
      </c>
      <c r="G33" s="132" t="s">
        <v>500</v>
      </c>
      <c r="H33" s="114"/>
      <c r="I33" s="121" t="s">
        <v>884</v>
      </c>
      <c r="J33" s="27"/>
      <c r="K33" s="210"/>
      <c r="L33" s="49">
        <v>50</v>
      </c>
      <c r="M33" s="274">
        <v>43922</v>
      </c>
      <c r="N33" s="263"/>
      <c r="O33" s="18"/>
    </row>
    <row r="34" spans="1:15" x14ac:dyDescent="0.3">
      <c r="B34" s="59"/>
      <c r="C34" s="12"/>
      <c r="D34" s="105" t="s">
        <v>492</v>
      </c>
      <c r="E34" s="4" t="s">
        <v>907</v>
      </c>
      <c r="G34" s="132" t="s">
        <v>500</v>
      </c>
      <c r="H34" s="114"/>
      <c r="I34" s="121" t="s">
        <v>1252</v>
      </c>
      <c r="J34" s="52"/>
      <c r="K34" s="210"/>
      <c r="L34" s="49">
        <v>50</v>
      </c>
      <c r="M34" s="274">
        <v>43831</v>
      </c>
      <c r="N34" s="263"/>
      <c r="O34" s="18"/>
    </row>
    <row r="35" spans="1:15" x14ac:dyDescent="0.3">
      <c r="B35" s="59"/>
      <c r="C35" s="12"/>
      <c r="D35" s="105" t="s">
        <v>492</v>
      </c>
      <c r="E35" s="4" t="s">
        <v>1265</v>
      </c>
      <c r="G35" s="132" t="s">
        <v>500</v>
      </c>
      <c r="H35" s="114"/>
      <c r="I35" s="121" t="s">
        <v>1279</v>
      </c>
      <c r="J35" s="15"/>
      <c r="K35" s="210"/>
      <c r="L35" s="49">
        <v>50</v>
      </c>
      <c r="M35" s="274">
        <v>43862</v>
      </c>
      <c r="N35" s="263"/>
      <c r="O35" s="18"/>
    </row>
    <row r="36" spans="1:15" x14ac:dyDescent="0.3">
      <c r="B36" s="59"/>
      <c r="C36" s="12"/>
      <c r="D36" s="131" t="s">
        <v>492</v>
      </c>
      <c r="E36" s="4" t="s">
        <v>1386</v>
      </c>
      <c r="G36" s="132" t="s">
        <v>500</v>
      </c>
      <c r="H36" s="114"/>
      <c r="I36" s="121" t="s">
        <v>1280</v>
      </c>
      <c r="J36" s="52"/>
      <c r="K36" s="207" t="s">
        <v>324</v>
      </c>
      <c r="L36" s="49">
        <v>50</v>
      </c>
      <c r="M36" s="43"/>
      <c r="N36" s="263"/>
      <c r="O36" s="18"/>
    </row>
    <row r="37" spans="1:15" x14ac:dyDescent="0.3">
      <c r="B37" s="59"/>
      <c r="C37" s="12"/>
      <c r="D37" s="131" t="s">
        <v>492</v>
      </c>
      <c r="E37" s="4" t="s">
        <v>1281</v>
      </c>
      <c r="G37" s="132" t="s">
        <v>1288</v>
      </c>
      <c r="H37" s="114"/>
      <c r="I37" s="121" t="s">
        <v>1282</v>
      </c>
      <c r="J37" s="52"/>
      <c r="K37" s="210"/>
      <c r="L37" s="49">
        <v>100</v>
      </c>
      <c r="M37" s="274">
        <v>43831</v>
      </c>
      <c r="N37" s="263"/>
      <c r="O37" s="18"/>
    </row>
    <row r="38" spans="1:15" x14ac:dyDescent="0.3">
      <c r="B38" s="59"/>
      <c r="C38" s="12"/>
      <c r="D38" s="131"/>
      <c r="E38" s="4"/>
      <c r="G38" s="27"/>
      <c r="H38" s="15"/>
      <c r="I38" s="120"/>
      <c r="J38" s="52"/>
      <c r="K38" s="210"/>
      <c r="L38" s="42"/>
      <c r="M38" s="43"/>
      <c r="N38" s="263"/>
      <c r="O38" s="18"/>
    </row>
    <row r="39" spans="1:15" x14ac:dyDescent="0.3">
      <c r="B39" s="59"/>
      <c r="C39" s="12"/>
      <c r="D39" s="39"/>
      <c r="E39" s="59"/>
      <c r="G39" s="258" t="s">
        <v>1274</v>
      </c>
      <c r="H39" s="15"/>
      <c r="I39" s="13"/>
      <c r="J39" s="15"/>
      <c r="K39" s="13"/>
      <c r="L39" s="75">
        <f>SUM(L29:L37)</f>
        <v>550</v>
      </c>
      <c r="M39" s="43"/>
      <c r="N39" s="263"/>
      <c r="O39" s="18"/>
    </row>
    <row r="40" spans="1:15" x14ac:dyDescent="0.3">
      <c r="B40" s="59"/>
      <c r="C40" s="12"/>
      <c r="D40" s="29"/>
      <c r="E40" s="74"/>
      <c r="F40" s="27"/>
      <c r="H40" s="11"/>
      <c r="I40" s="13"/>
      <c r="M40" s="43"/>
      <c r="N40" s="263"/>
      <c r="O40" s="18"/>
    </row>
    <row r="41" spans="1:15" x14ac:dyDescent="0.3">
      <c r="B41" s="59"/>
      <c r="C41" s="12"/>
      <c r="D41" s="29"/>
      <c r="E41" s="74"/>
      <c r="F41" s="27"/>
      <c r="H41" s="11"/>
      <c r="I41" s="13"/>
      <c r="M41" s="43"/>
      <c r="N41" s="263"/>
      <c r="O41" s="18"/>
    </row>
    <row r="42" spans="1:15" x14ac:dyDescent="0.3">
      <c r="B42" s="59"/>
      <c r="C42" s="3"/>
      <c r="D42" s="127"/>
      <c r="E42" s="128"/>
      <c r="F42" s="129"/>
      <c r="G42" s="1"/>
      <c r="H42" s="4"/>
      <c r="I42" s="1"/>
      <c r="J42" s="125"/>
      <c r="K42" s="125"/>
      <c r="L42" s="125"/>
      <c r="M42" s="125"/>
      <c r="N42" s="18"/>
    </row>
    <row r="43" spans="1:15" x14ac:dyDescent="0.3">
      <c r="B43" s="59"/>
      <c r="C43" s="5"/>
      <c r="D43" s="124"/>
      <c r="E43" s="3"/>
      <c r="G43" s="2"/>
      <c r="H43" s="41"/>
      <c r="I43" s="41"/>
      <c r="J43" s="41"/>
      <c r="K43" s="41"/>
      <c r="L43" s="41"/>
      <c r="M43" s="44"/>
    </row>
    <row r="44" spans="1:15" x14ac:dyDescent="0.3">
      <c r="B44" s="59"/>
      <c r="C44" s="5"/>
      <c r="D44" s="124"/>
      <c r="E44" s="3"/>
      <c r="G44" s="2"/>
      <c r="H44" s="41"/>
      <c r="I44" s="41"/>
      <c r="J44" s="41"/>
      <c r="K44" s="41"/>
      <c r="L44" s="41"/>
      <c r="M44" s="44"/>
    </row>
    <row r="45" spans="1:15" x14ac:dyDescent="0.3">
      <c r="A45" s="12"/>
      <c r="B45" s="29"/>
      <c r="C45" s="5"/>
      <c r="D45" s="124"/>
      <c r="E45" s="2"/>
      <c r="G45" s="2"/>
      <c r="H45" s="41"/>
      <c r="I45" s="41"/>
      <c r="J45" s="41"/>
      <c r="K45" s="41"/>
      <c r="L45" s="41"/>
      <c r="M45" s="44"/>
    </row>
    <row r="46" spans="1:15" x14ac:dyDescent="0.3">
      <c r="A46" s="28"/>
      <c r="B46" s="29"/>
      <c r="C46" s="5" t="s">
        <v>112</v>
      </c>
      <c r="D46" s="124"/>
      <c r="E46" s="31"/>
      <c r="G46" s="2"/>
      <c r="H46" s="41"/>
      <c r="I46" s="41"/>
      <c r="J46" s="41"/>
      <c r="K46" s="41"/>
      <c r="L46" s="41"/>
      <c r="M46" s="44"/>
    </row>
    <row r="47" spans="1:15" x14ac:dyDescent="0.3">
      <c r="A47" s="28"/>
      <c r="B47" s="29"/>
      <c r="C47" s="5" t="s">
        <v>113</v>
      </c>
      <c r="D47" s="124"/>
      <c r="E47" s="32"/>
      <c r="G47" s="2"/>
      <c r="H47" s="41"/>
      <c r="I47" s="41"/>
      <c r="J47" s="41"/>
      <c r="K47" s="78" t="s">
        <v>503</v>
      </c>
      <c r="L47" s="75">
        <f>N22</f>
        <v>22067.88</v>
      </c>
      <c r="M47" s="44"/>
    </row>
    <row r="48" spans="1:15" x14ac:dyDescent="0.3">
      <c r="A48" s="12"/>
      <c r="B48" s="29"/>
      <c r="C48" s="11"/>
      <c r="D48" s="27"/>
      <c r="F48" s="11"/>
    </row>
    <row r="49" spans="1:18" s="23" customFormat="1" x14ac:dyDescent="0.3">
      <c r="A49" s="28" t="s">
        <v>495</v>
      </c>
      <c r="B49" s="107" t="s">
        <v>496</v>
      </c>
      <c r="C49" s="74" t="s">
        <v>497</v>
      </c>
      <c r="D49" s="113" t="s">
        <v>498</v>
      </c>
      <c r="E49" s="22"/>
      <c r="F49" s="74"/>
      <c r="G49" s="22"/>
      <c r="H49" s="75" t="s">
        <v>502</v>
      </c>
      <c r="I49" s="75" t="s">
        <v>501</v>
      </c>
      <c r="J49" s="75" t="s">
        <v>56</v>
      </c>
      <c r="K49" s="75" t="s">
        <v>493</v>
      </c>
      <c r="L49" s="75"/>
      <c r="M49" s="76"/>
      <c r="O49" s="77"/>
      <c r="Q49" s="74"/>
    </row>
    <row r="50" spans="1:18" x14ac:dyDescent="0.3">
      <c r="A50" s="12"/>
      <c r="B50" s="105" t="s">
        <v>482</v>
      </c>
      <c r="C50" s="4" t="s">
        <v>529</v>
      </c>
      <c r="D50" s="132" t="s">
        <v>513</v>
      </c>
      <c r="E50" s="120"/>
      <c r="F50" s="27"/>
      <c r="G50" s="33"/>
      <c r="H50" s="51">
        <v>1156</v>
      </c>
      <c r="I50" s="42"/>
      <c r="J50" s="42"/>
      <c r="K50" s="43">
        <f>H50+J50</f>
        <v>1156</v>
      </c>
      <c r="L50" s="43">
        <f>L47+K50</f>
        <v>23223.88</v>
      </c>
      <c r="M50" s="18" t="s">
        <v>90</v>
      </c>
      <c r="N50" s="18"/>
    </row>
    <row r="51" spans="1:18" x14ac:dyDescent="0.3">
      <c r="A51" s="12"/>
      <c r="B51" s="105" t="s">
        <v>482</v>
      </c>
      <c r="C51" s="4" t="s">
        <v>165</v>
      </c>
      <c r="D51" s="132" t="s">
        <v>513</v>
      </c>
      <c r="E51" s="120"/>
      <c r="F51" s="27"/>
      <c r="G51" s="33"/>
      <c r="H51" s="51">
        <v>80</v>
      </c>
      <c r="I51" s="42"/>
      <c r="J51" s="42"/>
      <c r="K51" s="43">
        <f t="shared" ref="K51:K126" si="0">H51+J51</f>
        <v>80</v>
      </c>
      <c r="L51" s="43">
        <f t="shared" ref="L51:L88" si="1">L50+K51</f>
        <v>23303.88</v>
      </c>
      <c r="M51" s="18" t="s">
        <v>90</v>
      </c>
    </row>
    <row r="52" spans="1:18" x14ac:dyDescent="0.3">
      <c r="A52" s="12"/>
      <c r="B52" s="105" t="s">
        <v>482</v>
      </c>
      <c r="C52" s="4" t="s">
        <v>266</v>
      </c>
      <c r="D52" s="132" t="s">
        <v>513</v>
      </c>
      <c r="E52" s="120"/>
      <c r="F52" s="27"/>
      <c r="G52" s="33"/>
      <c r="H52" s="51">
        <v>672.35</v>
      </c>
      <c r="I52" s="33"/>
      <c r="J52" s="42"/>
      <c r="K52" s="43">
        <f t="shared" si="0"/>
        <v>672.35</v>
      </c>
      <c r="L52" s="43">
        <f t="shared" si="1"/>
        <v>23976.23</v>
      </c>
      <c r="M52" s="18" t="s">
        <v>90</v>
      </c>
    </row>
    <row r="53" spans="1:18" x14ac:dyDescent="0.3">
      <c r="A53" s="12"/>
      <c r="B53" s="105" t="s">
        <v>482</v>
      </c>
      <c r="C53" s="4" t="s">
        <v>129</v>
      </c>
      <c r="D53" s="132" t="s">
        <v>513</v>
      </c>
      <c r="E53" s="120"/>
      <c r="F53" s="27"/>
      <c r="G53" s="33"/>
      <c r="H53" s="51">
        <v>507.5</v>
      </c>
      <c r="I53" s="42"/>
      <c r="J53" s="42"/>
      <c r="K53" s="43">
        <f t="shared" si="0"/>
        <v>507.5</v>
      </c>
      <c r="L53" s="43">
        <f t="shared" si="1"/>
        <v>24483.73</v>
      </c>
      <c r="M53" s="18" t="s">
        <v>90</v>
      </c>
    </row>
    <row r="54" spans="1:18" x14ac:dyDescent="0.3">
      <c r="A54" s="12"/>
      <c r="B54" s="105" t="s">
        <v>482</v>
      </c>
      <c r="C54" s="4" t="s">
        <v>1289</v>
      </c>
      <c r="D54" s="132" t="s">
        <v>513</v>
      </c>
      <c r="E54" s="120"/>
      <c r="F54" s="27"/>
      <c r="G54" s="33"/>
      <c r="H54" s="51">
        <v>268.8</v>
      </c>
      <c r="I54" s="42"/>
      <c r="J54" s="42"/>
      <c r="K54" s="43">
        <f t="shared" si="0"/>
        <v>268.8</v>
      </c>
      <c r="L54" s="43">
        <f t="shared" si="1"/>
        <v>24752.53</v>
      </c>
      <c r="M54" s="18" t="s">
        <v>90</v>
      </c>
    </row>
    <row r="55" spans="1:18" x14ac:dyDescent="0.3">
      <c r="A55" s="12"/>
      <c r="B55" s="105" t="s">
        <v>482</v>
      </c>
      <c r="C55" s="4" t="s">
        <v>907</v>
      </c>
      <c r="D55" s="112" t="s">
        <v>504</v>
      </c>
      <c r="E55" s="121" t="s">
        <v>1290</v>
      </c>
      <c r="F55" s="27"/>
      <c r="G55" s="33"/>
      <c r="H55" s="42"/>
      <c r="I55" s="42"/>
      <c r="J55" s="49">
        <v>-50</v>
      </c>
      <c r="K55" s="43">
        <f t="shared" si="0"/>
        <v>-50</v>
      </c>
      <c r="L55" s="43">
        <f t="shared" si="1"/>
        <v>24702.53</v>
      </c>
      <c r="M55" s="18" t="s">
        <v>90</v>
      </c>
    </row>
    <row r="56" spans="1:18" x14ac:dyDescent="0.3">
      <c r="A56" s="12"/>
      <c r="B56" s="105" t="s">
        <v>482</v>
      </c>
      <c r="C56" s="4" t="s">
        <v>1292</v>
      </c>
      <c r="D56" s="132" t="s">
        <v>512</v>
      </c>
      <c r="E56" s="120"/>
      <c r="F56" s="27"/>
      <c r="G56" s="33"/>
      <c r="H56" s="42">
        <v>60</v>
      </c>
      <c r="I56" s="42"/>
      <c r="J56" s="42"/>
      <c r="K56" s="43">
        <f t="shared" si="0"/>
        <v>60</v>
      </c>
      <c r="L56" s="43">
        <f t="shared" si="1"/>
        <v>24762.53</v>
      </c>
      <c r="M56" s="18" t="s">
        <v>90</v>
      </c>
      <c r="R56" s="209"/>
    </row>
    <row r="57" spans="1:18" x14ac:dyDescent="0.3">
      <c r="A57" s="12"/>
      <c r="B57" s="105" t="s">
        <v>482</v>
      </c>
      <c r="C57" s="4" t="s">
        <v>1292</v>
      </c>
      <c r="D57" s="112" t="s">
        <v>500</v>
      </c>
      <c r="E57" s="121" t="s">
        <v>1293</v>
      </c>
      <c r="F57" s="27"/>
      <c r="G57" s="210"/>
      <c r="H57" s="49">
        <v>50</v>
      </c>
      <c r="I57" s="42"/>
      <c r="J57" s="42"/>
      <c r="K57" s="43">
        <f t="shared" si="0"/>
        <v>50</v>
      </c>
      <c r="L57" s="43">
        <f t="shared" si="1"/>
        <v>24812.53</v>
      </c>
      <c r="M57" s="18" t="s">
        <v>90</v>
      </c>
      <c r="R57" s="58"/>
    </row>
    <row r="58" spans="1:18" x14ac:dyDescent="0.3">
      <c r="A58" s="12"/>
      <c r="B58" s="105" t="s">
        <v>482</v>
      </c>
      <c r="C58" s="4" t="s">
        <v>475</v>
      </c>
      <c r="D58" s="132" t="s">
        <v>513</v>
      </c>
      <c r="E58" s="120"/>
      <c r="F58" s="27"/>
      <c r="G58" s="33"/>
      <c r="H58" s="51">
        <v>1059.0999999999999</v>
      </c>
      <c r="I58" s="42"/>
      <c r="J58" s="42"/>
      <c r="K58" s="43">
        <f t="shared" si="0"/>
        <v>1059.0999999999999</v>
      </c>
      <c r="L58" s="43">
        <f t="shared" si="1"/>
        <v>25871.629999999997</v>
      </c>
      <c r="M58" s="18" t="s">
        <v>90</v>
      </c>
      <c r="R58" s="209"/>
    </row>
    <row r="59" spans="1:18" x14ac:dyDescent="0.3">
      <c r="A59" s="12"/>
      <c r="B59" s="105" t="s">
        <v>482</v>
      </c>
      <c r="C59" s="4" t="s">
        <v>174</v>
      </c>
      <c r="D59" s="133" t="s">
        <v>513</v>
      </c>
      <c r="E59" s="120"/>
      <c r="F59" s="27"/>
      <c r="G59" s="33"/>
      <c r="H59" s="51">
        <v>3213</v>
      </c>
      <c r="I59" s="42"/>
      <c r="J59" s="42"/>
      <c r="K59" s="43">
        <f t="shared" si="0"/>
        <v>3213</v>
      </c>
      <c r="L59" s="43">
        <f t="shared" si="1"/>
        <v>29084.629999999997</v>
      </c>
      <c r="M59" s="18" t="s">
        <v>90</v>
      </c>
    </row>
    <row r="60" spans="1:18" x14ac:dyDescent="0.3">
      <c r="A60" s="12"/>
      <c r="B60" s="105" t="s">
        <v>482</v>
      </c>
      <c r="C60" s="4" t="s">
        <v>1294</v>
      </c>
      <c r="D60" s="132" t="s">
        <v>512</v>
      </c>
      <c r="E60" s="120"/>
      <c r="F60" s="27"/>
      <c r="G60" s="33"/>
      <c r="H60" s="42">
        <v>60</v>
      </c>
      <c r="I60" s="42"/>
      <c r="J60" s="42"/>
      <c r="K60" s="43">
        <f t="shared" si="0"/>
        <v>60</v>
      </c>
      <c r="L60" s="43">
        <f t="shared" si="1"/>
        <v>29144.629999999997</v>
      </c>
      <c r="M60" s="18" t="s">
        <v>90</v>
      </c>
    </row>
    <row r="61" spans="1:18" x14ac:dyDescent="0.3">
      <c r="A61" s="12"/>
      <c r="B61" s="105" t="s">
        <v>482</v>
      </c>
      <c r="C61" s="4" t="s">
        <v>1294</v>
      </c>
      <c r="D61" s="112" t="s">
        <v>500</v>
      </c>
      <c r="E61" s="121" t="s">
        <v>147</v>
      </c>
      <c r="F61" s="27"/>
      <c r="G61" s="33"/>
      <c r="H61" s="49">
        <v>50</v>
      </c>
      <c r="I61" s="42"/>
      <c r="J61" s="42"/>
      <c r="K61" s="43">
        <f t="shared" si="0"/>
        <v>50</v>
      </c>
      <c r="L61" s="43">
        <f t="shared" si="1"/>
        <v>29194.629999999997</v>
      </c>
      <c r="M61" s="18" t="s">
        <v>90</v>
      </c>
    </row>
    <row r="62" spans="1:18" x14ac:dyDescent="0.3">
      <c r="A62" s="12"/>
      <c r="B62" s="105" t="s">
        <v>482</v>
      </c>
      <c r="C62" s="4" t="s">
        <v>1296</v>
      </c>
      <c r="D62" s="132" t="s">
        <v>512</v>
      </c>
      <c r="E62" s="120"/>
      <c r="F62" s="27"/>
      <c r="G62" s="33"/>
      <c r="H62" s="42">
        <v>80</v>
      </c>
      <c r="I62" s="42"/>
      <c r="J62" s="42"/>
      <c r="K62" s="43">
        <f t="shared" si="0"/>
        <v>80</v>
      </c>
      <c r="L62" s="43">
        <f t="shared" si="1"/>
        <v>29274.629999999997</v>
      </c>
      <c r="M62" s="18" t="s">
        <v>90</v>
      </c>
    </row>
    <row r="63" spans="1:18" x14ac:dyDescent="0.3">
      <c r="A63" s="12"/>
      <c r="B63" s="105" t="s">
        <v>482</v>
      </c>
      <c r="C63" s="4" t="s">
        <v>1296</v>
      </c>
      <c r="D63" s="112" t="s">
        <v>500</v>
      </c>
      <c r="E63" s="121" t="s">
        <v>1295</v>
      </c>
      <c r="F63" s="27"/>
      <c r="G63" s="210"/>
      <c r="H63" s="49">
        <v>50</v>
      </c>
      <c r="I63" s="42"/>
      <c r="J63" s="42"/>
      <c r="K63" s="43">
        <f t="shared" si="0"/>
        <v>50</v>
      </c>
      <c r="L63" s="43">
        <f t="shared" si="1"/>
        <v>29324.629999999997</v>
      </c>
      <c r="M63" s="18" t="s">
        <v>90</v>
      </c>
    </row>
    <row r="64" spans="1:18" x14ac:dyDescent="0.3">
      <c r="A64" s="12"/>
      <c r="B64" s="105" t="s">
        <v>482</v>
      </c>
      <c r="C64" s="4" t="s">
        <v>1044</v>
      </c>
      <c r="D64" s="132" t="s">
        <v>512</v>
      </c>
      <c r="E64" s="120"/>
      <c r="F64" s="27"/>
      <c r="G64" s="33"/>
      <c r="H64" s="42">
        <v>30</v>
      </c>
      <c r="I64" s="171"/>
      <c r="J64" s="42"/>
      <c r="K64" s="43">
        <f t="shared" si="0"/>
        <v>30</v>
      </c>
      <c r="L64" s="43">
        <f t="shared" si="1"/>
        <v>29354.629999999997</v>
      </c>
      <c r="M64" s="18" t="s">
        <v>90</v>
      </c>
    </row>
    <row r="65" spans="1:22" x14ac:dyDescent="0.3">
      <c r="A65" s="12"/>
      <c r="B65" s="105" t="s">
        <v>482</v>
      </c>
      <c r="C65" s="4" t="s">
        <v>166</v>
      </c>
      <c r="D65" s="132" t="s">
        <v>513</v>
      </c>
      <c r="E65" s="120"/>
      <c r="F65" s="27"/>
      <c r="G65" s="33"/>
      <c r="H65" s="51">
        <v>221</v>
      </c>
      <c r="I65" s="171"/>
      <c r="J65" s="42"/>
      <c r="K65" s="43">
        <f t="shared" si="0"/>
        <v>221</v>
      </c>
      <c r="L65" s="43">
        <f t="shared" si="1"/>
        <v>29575.629999999997</v>
      </c>
      <c r="M65" s="18" t="s">
        <v>90</v>
      </c>
    </row>
    <row r="66" spans="1:22" x14ac:dyDescent="0.3">
      <c r="A66" s="12"/>
      <c r="B66" s="105" t="s">
        <v>482</v>
      </c>
      <c r="C66" s="4" t="s">
        <v>58</v>
      </c>
      <c r="D66" s="132" t="s">
        <v>9</v>
      </c>
      <c r="E66" s="168" t="s">
        <v>1297</v>
      </c>
      <c r="F66" s="27"/>
      <c r="G66" s="33"/>
      <c r="H66" s="42"/>
      <c r="I66" s="171"/>
      <c r="J66" s="42">
        <v>-143.04</v>
      </c>
      <c r="K66" s="43">
        <f t="shared" si="0"/>
        <v>-143.04</v>
      </c>
      <c r="L66" s="43">
        <f t="shared" si="1"/>
        <v>29432.589999999997</v>
      </c>
      <c r="M66" s="18" t="s">
        <v>90</v>
      </c>
    </row>
    <row r="67" spans="1:22" x14ac:dyDescent="0.3">
      <c r="A67" s="12"/>
      <c r="B67" s="105" t="s">
        <v>482</v>
      </c>
      <c r="C67" s="4" t="s">
        <v>299</v>
      </c>
      <c r="D67" s="133" t="s">
        <v>301</v>
      </c>
      <c r="E67" s="213"/>
      <c r="F67" s="213"/>
      <c r="G67" s="214"/>
      <c r="H67" s="215"/>
      <c r="I67" s="215"/>
      <c r="J67" s="232">
        <v>-37.68</v>
      </c>
      <c r="K67" s="43">
        <f t="shared" si="0"/>
        <v>-37.68</v>
      </c>
      <c r="L67" s="43">
        <f t="shared" si="1"/>
        <v>29394.909999999996</v>
      </c>
      <c r="M67" s="18" t="s">
        <v>90</v>
      </c>
    </row>
    <row r="68" spans="1:22" x14ac:dyDescent="0.3">
      <c r="B68" s="105" t="s">
        <v>482</v>
      </c>
      <c r="C68" s="4" t="s">
        <v>607</v>
      </c>
      <c r="D68" s="133" t="s">
        <v>11</v>
      </c>
      <c r="E68" s="213"/>
      <c r="F68" s="213"/>
      <c r="G68" s="214"/>
      <c r="H68" s="215"/>
      <c r="I68" s="215"/>
      <c r="J68" s="232">
        <v>-200</v>
      </c>
      <c r="K68" s="43">
        <f t="shared" si="0"/>
        <v>-200</v>
      </c>
      <c r="L68" s="43">
        <f t="shared" si="1"/>
        <v>29194.909999999996</v>
      </c>
      <c r="M68" s="18" t="s">
        <v>90</v>
      </c>
    </row>
    <row r="69" spans="1:22" x14ac:dyDescent="0.3">
      <c r="B69" s="105" t="s">
        <v>482</v>
      </c>
      <c r="C69" s="214" t="s">
        <v>1109</v>
      </c>
      <c r="D69" s="133" t="s">
        <v>12</v>
      </c>
      <c r="E69" s="213"/>
      <c r="F69" s="215"/>
      <c r="G69" s="214"/>
      <c r="H69" s="215"/>
      <c r="I69" s="215"/>
      <c r="J69" s="232">
        <v>-29.4</v>
      </c>
      <c r="K69" s="43">
        <f t="shared" si="0"/>
        <v>-29.4</v>
      </c>
      <c r="L69" s="43">
        <f t="shared" si="1"/>
        <v>29165.509999999995</v>
      </c>
      <c r="M69" s="18" t="s">
        <v>90</v>
      </c>
    </row>
    <row r="70" spans="1:22" x14ac:dyDescent="0.3">
      <c r="B70" s="105" t="s">
        <v>482</v>
      </c>
      <c r="C70" s="4" t="s">
        <v>48</v>
      </c>
      <c r="D70" s="133" t="s">
        <v>12</v>
      </c>
      <c r="E70" s="213"/>
      <c r="F70" s="215"/>
      <c r="G70" s="214"/>
      <c r="H70" s="215"/>
      <c r="I70" s="215"/>
      <c r="J70" s="232">
        <v>-118.4</v>
      </c>
      <c r="K70" s="43">
        <f t="shared" si="0"/>
        <v>-118.4</v>
      </c>
      <c r="L70" s="43">
        <f t="shared" si="1"/>
        <v>29047.109999999993</v>
      </c>
      <c r="M70" s="18" t="s">
        <v>90</v>
      </c>
    </row>
    <row r="71" spans="1:22" x14ac:dyDescent="0.3">
      <c r="A71" s="12"/>
      <c r="B71" s="105" t="s">
        <v>482</v>
      </c>
      <c r="C71" s="4" t="s">
        <v>1068</v>
      </c>
      <c r="D71" s="133" t="s">
        <v>12</v>
      </c>
      <c r="E71" s="213" t="s">
        <v>1009</v>
      </c>
      <c r="F71" s="215"/>
      <c r="G71" s="214" t="s">
        <v>1072</v>
      </c>
      <c r="H71" s="215"/>
      <c r="I71" s="215"/>
      <c r="J71" s="228">
        <v>-283.5</v>
      </c>
      <c r="K71" s="43">
        <f t="shared" si="0"/>
        <v>-283.5</v>
      </c>
      <c r="L71" s="43">
        <f t="shared" si="1"/>
        <v>28763.609999999993</v>
      </c>
      <c r="M71" s="18" t="s">
        <v>1342</v>
      </c>
    </row>
    <row r="72" spans="1:22" x14ac:dyDescent="0.3">
      <c r="A72" s="12"/>
      <c r="B72" s="105" t="s">
        <v>482</v>
      </c>
      <c r="C72" s="4" t="s">
        <v>646</v>
      </c>
      <c r="D72" s="133" t="s">
        <v>518</v>
      </c>
      <c r="E72" s="120" t="s">
        <v>1298</v>
      </c>
      <c r="F72" s="27"/>
      <c r="G72" s="33"/>
      <c r="H72" s="42"/>
      <c r="I72" s="171"/>
      <c r="J72" s="42">
        <v>-43</v>
      </c>
      <c r="K72" s="43">
        <f t="shared" si="0"/>
        <v>-43</v>
      </c>
      <c r="L72" s="43">
        <f t="shared" si="1"/>
        <v>28720.609999999993</v>
      </c>
      <c r="M72" s="18" t="s">
        <v>1342</v>
      </c>
    </row>
    <row r="73" spans="1:22" x14ac:dyDescent="0.3">
      <c r="A73" s="12"/>
      <c r="B73" s="105" t="s">
        <v>482</v>
      </c>
      <c r="C73" s="4" t="s">
        <v>1299</v>
      </c>
      <c r="D73" s="112" t="s">
        <v>504</v>
      </c>
      <c r="E73" s="121" t="s">
        <v>951</v>
      </c>
      <c r="F73" s="27"/>
      <c r="G73" s="33">
        <v>800002</v>
      </c>
      <c r="H73" s="42"/>
      <c r="I73" s="171"/>
      <c r="J73" s="49">
        <v>-50</v>
      </c>
      <c r="K73" s="43">
        <f t="shared" si="0"/>
        <v>-50</v>
      </c>
      <c r="L73" s="43">
        <f t="shared" si="1"/>
        <v>28670.609999999993</v>
      </c>
      <c r="M73" s="18" t="s">
        <v>90</v>
      </c>
    </row>
    <row r="74" spans="1:22" x14ac:dyDescent="0.3">
      <c r="A74" s="12"/>
      <c r="B74" s="105" t="s">
        <v>482</v>
      </c>
      <c r="C74" s="4" t="s">
        <v>1300</v>
      </c>
      <c r="D74" s="112" t="s">
        <v>504</v>
      </c>
      <c r="E74" s="121" t="s">
        <v>1301</v>
      </c>
      <c r="F74" s="128"/>
      <c r="G74" s="120">
        <v>800003</v>
      </c>
      <c r="H74" s="170"/>
      <c r="I74" s="170"/>
      <c r="J74" s="275">
        <v>-50</v>
      </c>
      <c r="K74" s="43">
        <f t="shared" si="0"/>
        <v>-50</v>
      </c>
      <c r="L74" s="43">
        <f t="shared" si="1"/>
        <v>28620.609999999993</v>
      </c>
      <c r="M74" s="18" t="s">
        <v>90</v>
      </c>
    </row>
    <row r="75" spans="1:22" x14ac:dyDescent="0.3">
      <c r="A75" s="12"/>
      <c r="B75" s="105" t="s">
        <v>482</v>
      </c>
      <c r="C75" s="4" t="s">
        <v>949</v>
      </c>
      <c r="D75" s="133" t="s">
        <v>622</v>
      </c>
      <c r="E75" s="120" t="s">
        <v>960</v>
      </c>
      <c r="F75" s="128"/>
      <c r="G75" s="120"/>
      <c r="H75" s="170">
        <v>50</v>
      </c>
      <c r="I75" s="170"/>
      <c r="J75" s="170"/>
      <c r="K75" s="43">
        <f t="shared" si="0"/>
        <v>50</v>
      </c>
      <c r="L75" s="43">
        <f t="shared" si="1"/>
        <v>28670.609999999993</v>
      </c>
      <c r="M75" s="18" t="s">
        <v>90</v>
      </c>
      <c r="P75"/>
    </row>
    <row r="76" spans="1:22" x14ac:dyDescent="0.3">
      <c r="A76" s="12"/>
      <c r="B76" s="105" t="s">
        <v>482</v>
      </c>
      <c r="C76" s="4" t="s">
        <v>142</v>
      </c>
      <c r="D76" s="132" t="s">
        <v>513</v>
      </c>
      <c r="E76" s="120"/>
      <c r="F76" s="128"/>
      <c r="G76" s="120"/>
      <c r="H76" s="276">
        <v>171.5</v>
      </c>
      <c r="I76" s="170"/>
      <c r="J76" s="170"/>
      <c r="K76" s="43">
        <f t="shared" si="0"/>
        <v>171.5</v>
      </c>
      <c r="L76" s="43">
        <f t="shared" si="1"/>
        <v>28842.109999999993</v>
      </c>
      <c r="M76" s="18" t="s">
        <v>90</v>
      </c>
    </row>
    <row r="77" spans="1:22" x14ac:dyDescent="0.3">
      <c r="A77" s="12"/>
      <c r="B77" s="105" t="s">
        <v>482</v>
      </c>
      <c r="C77" s="4" t="s">
        <v>141</v>
      </c>
      <c r="D77" s="132" t="s">
        <v>513</v>
      </c>
      <c r="E77" s="120"/>
      <c r="F77" s="128"/>
      <c r="G77" s="120"/>
      <c r="H77" s="276">
        <v>536.46</v>
      </c>
      <c r="I77" s="170"/>
      <c r="J77" s="170"/>
      <c r="K77" s="43">
        <f t="shared" si="0"/>
        <v>536.46</v>
      </c>
      <c r="L77" s="43">
        <f t="shared" si="1"/>
        <v>29378.569999999992</v>
      </c>
      <c r="M77" s="18" t="s">
        <v>534</v>
      </c>
      <c r="N77"/>
      <c r="R77" s="30" t="s">
        <v>1310</v>
      </c>
    </row>
    <row r="78" spans="1:22" x14ac:dyDescent="0.3">
      <c r="A78" s="12"/>
      <c r="B78" s="105" t="s">
        <v>482</v>
      </c>
      <c r="C78" s="4" t="s">
        <v>159</v>
      </c>
      <c r="D78" s="132" t="s">
        <v>513</v>
      </c>
      <c r="E78" s="120"/>
      <c r="F78" s="128"/>
      <c r="G78" s="120"/>
      <c r="H78" s="276">
        <v>34</v>
      </c>
      <c r="I78" s="170"/>
      <c r="J78" s="170"/>
      <c r="K78" s="43">
        <f t="shared" si="0"/>
        <v>34</v>
      </c>
      <c r="L78" s="43">
        <f t="shared" si="1"/>
        <v>29412.569999999992</v>
      </c>
      <c r="M78" s="18" t="s">
        <v>534</v>
      </c>
      <c r="N78">
        <v>626.46</v>
      </c>
    </row>
    <row r="79" spans="1:22" x14ac:dyDescent="0.3">
      <c r="A79" s="12"/>
      <c r="B79" s="131" t="s">
        <v>482</v>
      </c>
      <c r="C79" s="4" t="s">
        <v>1302</v>
      </c>
      <c r="D79" s="132" t="s">
        <v>513</v>
      </c>
      <c r="E79" s="120"/>
      <c r="F79" s="52"/>
      <c r="G79" s="33"/>
      <c r="H79" s="51">
        <v>56</v>
      </c>
      <c r="I79" s="42"/>
      <c r="J79" s="42"/>
      <c r="K79" s="43">
        <f t="shared" si="0"/>
        <v>56</v>
      </c>
      <c r="L79" s="43">
        <f t="shared" si="1"/>
        <v>29468.569999999992</v>
      </c>
      <c r="M79" s="18" t="s">
        <v>534</v>
      </c>
      <c r="N79"/>
    </row>
    <row r="80" spans="1:22" x14ac:dyDescent="0.3">
      <c r="A80" s="12"/>
      <c r="B80" s="105" t="s">
        <v>482</v>
      </c>
      <c r="C80" s="4" t="s">
        <v>1303</v>
      </c>
      <c r="D80" s="133" t="s">
        <v>512</v>
      </c>
      <c r="E80" s="120"/>
      <c r="F80" s="27"/>
      <c r="G80" s="210"/>
      <c r="H80" s="42">
        <v>100</v>
      </c>
      <c r="I80" s="42"/>
      <c r="J80" s="42"/>
      <c r="K80" s="43">
        <f t="shared" si="0"/>
        <v>100</v>
      </c>
      <c r="L80" s="43">
        <f t="shared" si="1"/>
        <v>29568.569999999992</v>
      </c>
      <c r="M80" s="18" t="s">
        <v>90</v>
      </c>
      <c r="R80" t="s">
        <v>584</v>
      </c>
      <c r="V80" s="15">
        <v>31372.3</v>
      </c>
    </row>
    <row r="81" spans="1:23" x14ac:dyDescent="0.3">
      <c r="A81" s="12"/>
      <c r="B81" s="105" t="s">
        <v>482</v>
      </c>
      <c r="C81" s="4" t="s">
        <v>1305</v>
      </c>
      <c r="D81" s="112" t="s">
        <v>500</v>
      </c>
      <c r="E81" s="121" t="s">
        <v>1304</v>
      </c>
      <c r="F81" s="27"/>
      <c r="G81" s="210"/>
      <c r="H81" s="49">
        <v>150</v>
      </c>
      <c r="I81" s="42"/>
      <c r="J81" s="42"/>
      <c r="K81" s="43">
        <f t="shared" si="0"/>
        <v>150</v>
      </c>
      <c r="L81" s="43">
        <f t="shared" si="1"/>
        <v>29718.569999999992</v>
      </c>
      <c r="M81" s="18" t="s">
        <v>90</v>
      </c>
      <c r="N81" s="23" t="s">
        <v>1374</v>
      </c>
      <c r="R81" t="s">
        <v>608</v>
      </c>
      <c r="U81" s="43"/>
    </row>
    <row r="82" spans="1:23" x14ac:dyDescent="0.3">
      <c r="A82" s="12"/>
      <c r="B82" s="105" t="s">
        <v>482</v>
      </c>
      <c r="C82" s="4" t="s">
        <v>1189</v>
      </c>
      <c r="D82" s="132" t="s">
        <v>512</v>
      </c>
      <c r="E82" s="120"/>
      <c r="F82" s="52"/>
      <c r="G82" s="33"/>
      <c r="H82" s="42">
        <v>15</v>
      </c>
      <c r="I82" s="42"/>
      <c r="J82" s="42"/>
      <c r="K82" s="43">
        <f t="shared" si="0"/>
        <v>15</v>
      </c>
      <c r="L82" s="43">
        <f t="shared" si="1"/>
        <v>29733.569999999992</v>
      </c>
      <c r="M82" s="18" t="s">
        <v>90</v>
      </c>
      <c r="R82"/>
      <c r="U82" s="43"/>
      <c r="V82" s="11"/>
      <c r="W82"/>
    </row>
    <row r="83" spans="1:23" x14ac:dyDescent="0.3">
      <c r="A83" s="12"/>
      <c r="B83" s="105" t="s">
        <v>482</v>
      </c>
      <c r="C83" s="4" t="s">
        <v>1306</v>
      </c>
      <c r="D83" s="133" t="s">
        <v>512</v>
      </c>
      <c r="E83" s="120"/>
      <c r="F83" s="27"/>
      <c r="G83" s="33"/>
      <c r="H83" s="42">
        <v>15</v>
      </c>
      <c r="I83" s="42"/>
      <c r="J83" s="42"/>
      <c r="K83" s="43">
        <f t="shared" si="0"/>
        <v>15</v>
      </c>
      <c r="L83" s="43">
        <f t="shared" si="1"/>
        <v>29748.569999999992</v>
      </c>
      <c r="M83" s="18" t="s">
        <v>412</v>
      </c>
      <c r="R83" t="s">
        <v>586</v>
      </c>
      <c r="U83" s="43"/>
      <c r="V83" s="11"/>
      <c r="W83"/>
    </row>
    <row r="84" spans="1:23" x14ac:dyDescent="0.3">
      <c r="A84" s="12"/>
      <c r="B84" s="105" t="s">
        <v>482</v>
      </c>
      <c r="C84" s="4" t="s">
        <v>1307</v>
      </c>
      <c r="D84" s="133" t="s">
        <v>518</v>
      </c>
      <c r="E84" s="120" t="s">
        <v>1308</v>
      </c>
      <c r="F84" s="27"/>
      <c r="G84" s="120"/>
      <c r="H84" s="42"/>
      <c r="I84" s="42"/>
      <c r="J84" s="42">
        <v>-403.37</v>
      </c>
      <c r="K84" s="43">
        <f t="shared" si="0"/>
        <v>-403.37</v>
      </c>
      <c r="L84" s="43">
        <f t="shared" si="1"/>
        <v>29345.199999999993</v>
      </c>
      <c r="M84" s="18" t="s">
        <v>90</v>
      </c>
      <c r="R84" t="s">
        <v>1100</v>
      </c>
      <c r="U84" s="11">
        <v>-283.5</v>
      </c>
      <c r="V84" t="s">
        <v>90</v>
      </c>
      <c r="W84"/>
    </row>
    <row r="85" spans="1:23" x14ac:dyDescent="0.3">
      <c r="A85" s="12"/>
      <c r="B85" s="105" t="s">
        <v>482</v>
      </c>
      <c r="C85" s="4" t="s">
        <v>859</v>
      </c>
      <c r="D85" s="112" t="s">
        <v>504</v>
      </c>
      <c r="E85" s="121" t="s">
        <v>1309</v>
      </c>
      <c r="F85" s="27"/>
      <c r="G85" s="120" t="s">
        <v>464</v>
      </c>
      <c r="H85" s="42"/>
      <c r="I85" s="42"/>
      <c r="J85" s="49">
        <v>-50</v>
      </c>
      <c r="K85" s="43">
        <f t="shared" si="0"/>
        <v>-50</v>
      </c>
      <c r="L85" s="43">
        <f t="shared" si="1"/>
        <v>29295.199999999993</v>
      </c>
      <c r="M85" s="18" t="s">
        <v>90</v>
      </c>
      <c r="R85" t="s">
        <v>646</v>
      </c>
      <c r="U85" s="11">
        <v>-43</v>
      </c>
      <c r="V85" t="s">
        <v>90</v>
      </c>
    </row>
    <row r="86" spans="1:23" x14ac:dyDescent="0.3">
      <c r="A86" s="12"/>
      <c r="B86" s="105" t="s">
        <v>482</v>
      </c>
      <c r="C86" s="4" t="s">
        <v>1204</v>
      </c>
      <c r="D86" s="133" t="s">
        <v>512</v>
      </c>
      <c r="E86" s="33"/>
      <c r="F86" s="27"/>
      <c r="G86" s="33"/>
      <c r="H86" s="42">
        <v>178</v>
      </c>
      <c r="I86" s="42"/>
      <c r="J86" s="42"/>
      <c r="K86" s="43">
        <f t="shared" si="0"/>
        <v>178</v>
      </c>
      <c r="L86" s="43">
        <f t="shared" si="1"/>
        <v>29473.199999999993</v>
      </c>
      <c r="M86" s="18" t="s">
        <v>412</v>
      </c>
      <c r="R86" s="252" t="s">
        <v>1323</v>
      </c>
      <c r="U86" s="4">
        <v>-50</v>
      </c>
      <c r="V86" t="s">
        <v>90</v>
      </c>
    </row>
    <row r="87" spans="1:23" x14ac:dyDescent="0.3">
      <c r="A87" s="12"/>
      <c r="B87" s="105" t="s">
        <v>482</v>
      </c>
      <c r="C87" s="4" t="s">
        <v>1204</v>
      </c>
      <c r="D87" s="133" t="s">
        <v>512</v>
      </c>
      <c r="E87" s="120"/>
      <c r="F87" s="27"/>
      <c r="G87" s="210"/>
      <c r="H87" s="42">
        <v>50</v>
      </c>
      <c r="I87" s="42"/>
      <c r="J87" s="42"/>
      <c r="K87" s="43">
        <f t="shared" si="0"/>
        <v>50</v>
      </c>
      <c r="L87" s="43">
        <f t="shared" si="1"/>
        <v>29523.199999999993</v>
      </c>
      <c r="M87" s="18" t="s">
        <v>412</v>
      </c>
      <c r="R87" s="252" t="s">
        <v>1321</v>
      </c>
      <c r="U87" s="4">
        <v>-100</v>
      </c>
      <c r="V87" t="s">
        <v>90</v>
      </c>
      <c r="W87"/>
    </row>
    <row r="88" spans="1:23" x14ac:dyDescent="0.3">
      <c r="A88" s="12"/>
      <c r="B88" s="105" t="s">
        <v>482</v>
      </c>
      <c r="C88" s="4" t="s">
        <v>1437</v>
      </c>
      <c r="D88" s="112" t="s">
        <v>500</v>
      </c>
      <c r="E88" s="121" t="s">
        <v>1436</v>
      </c>
      <c r="F88" s="35"/>
      <c r="G88" s="207" t="s">
        <v>324</v>
      </c>
      <c r="H88" s="49">
        <v>70</v>
      </c>
      <c r="I88" s="42"/>
      <c r="J88" s="42"/>
      <c r="K88" s="43">
        <f t="shared" si="0"/>
        <v>70</v>
      </c>
      <c r="L88" s="75">
        <f t="shared" si="1"/>
        <v>29593.199999999993</v>
      </c>
      <c r="M88" s="18" t="s">
        <v>90</v>
      </c>
      <c r="R88" s="252" t="s">
        <v>1223</v>
      </c>
      <c r="U88" s="4">
        <v>-50</v>
      </c>
      <c r="W88"/>
    </row>
    <row r="89" spans="1:23" x14ac:dyDescent="0.3">
      <c r="A89" s="12"/>
      <c r="B89" s="105" t="s">
        <v>482</v>
      </c>
      <c r="C89" s="4" t="s">
        <v>1312</v>
      </c>
      <c r="D89" s="112" t="s">
        <v>504</v>
      </c>
      <c r="E89" s="121" t="s">
        <v>916</v>
      </c>
      <c r="F89" s="27"/>
      <c r="G89" s="33">
        <v>500804</v>
      </c>
      <c r="H89" s="42"/>
      <c r="I89" s="42"/>
      <c r="J89" s="49">
        <v>-50</v>
      </c>
      <c r="K89" s="43">
        <f t="shared" ref="K89:K103" si="2">H89+J89</f>
        <v>-50</v>
      </c>
      <c r="L89" s="43">
        <f t="shared" ref="L89:L134" si="3">L88+K89</f>
        <v>29543.199999999993</v>
      </c>
      <c r="M89" s="18" t="s">
        <v>1342</v>
      </c>
      <c r="R89" s="252" t="s">
        <v>1219</v>
      </c>
      <c r="U89" s="4">
        <v>-50</v>
      </c>
      <c r="W89"/>
    </row>
    <row r="90" spans="1:23" x14ac:dyDescent="0.3">
      <c r="A90" s="12"/>
      <c r="B90" s="105" t="s">
        <v>482</v>
      </c>
      <c r="C90" s="4" t="s">
        <v>144</v>
      </c>
      <c r="D90" s="132" t="s">
        <v>513</v>
      </c>
      <c r="E90" s="33"/>
      <c r="F90" s="27"/>
      <c r="G90" s="33"/>
      <c r="H90" s="51">
        <v>240.8</v>
      </c>
      <c r="I90" s="42"/>
      <c r="J90" s="42"/>
      <c r="K90" s="43">
        <f t="shared" si="2"/>
        <v>240.8</v>
      </c>
      <c r="L90" s="43">
        <f t="shared" si="3"/>
        <v>29783.999999999993</v>
      </c>
      <c r="M90" s="18" t="s">
        <v>412</v>
      </c>
      <c r="N90" t="s">
        <v>1314</v>
      </c>
      <c r="R90" s="252" t="s">
        <v>1233</v>
      </c>
      <c r="U90" s="4">
        <v>-50</v>
      </c>
      <c r="W90"/>
    </row>
    <row r="91" spans="1:23" x14ac:dyDescent="0.3">
      <c r="A91" s="12"/>
      <c r="B91" s="105" t="s">
        <v>482</v>
      </c>
      <c r="C91" s="4" t="s">
        <v>1313</v>
      </c>
      <c r="D91" s="132" t="s">
        <v>513</v>
      </c>
      <c r="E91" s="33"/>
      <c r="F91" s="27"/>
      <c r="G91" s="33"/>
      <c r="H91" s="51">
        <v>507.6</v>
      </c>
      <c r="I91" s="42"/>
      <c r="J91" s="42"/>
      <c r="K91" s="43">
        <f t="shared" si="2"/>
        <v>507.6</v>
      </c>
      <c r="L91" s="43">
        <f t="shared" si="3"/>
        <v>30291.599999999991</v>
      </c>
      <c r="M91" s="18" t="s">
        <v>412</v>
      </c>
      <c r="R91" s="252" t="s">
        <v>1256</v>
      </c>
      <c r="S91"/>
      <c r="U91" s="4">
        <v>-50</v>
      </c>
      <c r="W91"/>
    </row>
    <row r="92" spans="1:23" x14ac:dyDescent="0.3">
      <c r="A92" s="12"/>
      <c r="B92" s="105" t="s">
        <v>482</v>
      </c>
      <c r="C92" s="4" t="s">
        <v>1315</v>
      </c>
      <c r="D92" s="132" t="s">
        <v>513</v>
      </c>
      <c r="E92" s="33"/>
      <c r="F92" s="27"/>
      <c r="G92" s="33"/>
      <c r="H92" s="51">
        <v>214.2</v>
      </c>
      <c r="I92" s="42"/>
      <c r="J92" s="42"/>
      <c r="K92" s="43">
        <f t="shared" si="2"/>
        <v>214.2</v>
      </c>
      <c r="L92" s="43">
        <f t="shared" si="3"/>
        <v>30505.799999999992</v>
      </c>
      <c r="M92" s="18" t="s">
        <v>90</v>
      </c>
      <c r="R92" s="252" t="s">
        <v>1324</v>
      </c>
      <c r="U92" s="4">
        <v>-50</v>
      </c>
      <c r="V92" s="4"/>
      <c r="W92"/>
    </row>
    <row r="93" spans="1:23" x14ac:dyDescent="0.3">
      <c r="A93" s="12"/>
      <c r="B93" s="105" t="s">
        <v>482</v>
      </c>
      <c r="C93" s="4" t="s">
        <v>1317</v>
      </c>
      <c r="D93" s="133" t="s">
        <v>512</v>
      </c>
      <c r="E93" s="33"/>
      <c r="F93" s="27"/>
      <c r="G93" s="33"/>
      <c r="H93" s="42">
        <v>80</v>
      </c>
      <c r="I93" s="42"/>
      <c r="J93" s="42"/>
      <c r="K93" s="43">
        <f t="shared" si="2"/>
        <v>80</v>
      </c>
      <c r="L93" s="43">
        <f t="shared" si="3"/>
        <v>30585.799999999992</v>
      </c>
      <c r="M93" s="18" t="s">
        <v>90</v>
      </c>
    </row>
    <row r="94" spans="1:23" x14ac:dyDescent="0.3">
      <c r="A94" s="12"/>
      <c r="B94" s="105" t="s">
        <v>482</v>
      </c>
      <c r="C94" s="4" t="s">
        <v>1319</v>
      </c>
      <c r="D94" s="112" t="s">
        <v>500</v>
      </c>
      <c r="E94" s="121" t="s">
        <v>209</v>
      </c>
      <c r="F94" s="27"/>
      <c r="H94" s="49">
        <v>50</v>
      </c>
      <c r="I94" s="42"/>
      <c r="J94" s="42"/>
      <c r="K94" s="43">
        <f t="shared" si="2"/>
        <v>50</v>
      </c>
      <c r="L94" s="43">
        <f t="shared" si="3"/>
        <v>30635.799999999992</v>
      </c>
      <c r="M94" s="18" t="s">
        <v>412</v>
      </c>
      <c r="R94" s="252"/>
      <c r="U94" s="4"/>
      <c r="V94" s="4"/>
      <c r="W94"/>
    </row>
    <row r="95" spans="1:23" x14ac:dyDescent="0.3">
      <c r="A95" s="12"/>
      <c r="B95" s="105" t="s">
        <v>482</v>
      </c>
      <c r="C95" s="4" t="s">
        <v>1318</v>
      </c>
      <c r="D95" s="133" t="s">
        <v>512</v>
      </c>
      <c r="E95" s="33"/>
      <c r="F95" s="27"/>
      <c r="G95" s="33"/>
      <c r="H95" s="42">
        <v>20</v>
      </c>
      <c r="I95" s="42"/>
      <c r="J95" s="42"/>
      <c r="K95" s="43">
        <f t="shared" si="2"/>
        <v>20</v>
      </c>
      <c r="L95" s="43">
        <f t="shared" si="3"/>
        <v>30655.799999999992</v>
      </c>
      <c r="M95" s="18" t="s">
        <v>90</v>
      </c>
    </row>
    <row r="96" spans="1:23" x14ac:dyDescent="0.3">
      <c r="A96" s="12"/>
      <c r="B96" s="105" t="s">
        <v>482</v>
      </c>
      <c r="C96" s="4" t="s">
        <v>1319</v>
      </c>
      <c r="D96" s="133" t="s">
        <v>512</v>
      </c>
      <c r="E96" s="33"/>
      <c r="F96" s="27"/>
      <c r="G96" s="33"/>
      <c r="H96" s="42">
        <v>60</v>
      </c>
      <c r="I96" s="42"/>
      <c r="J96" s="42"/>
      <c r="K96" s="43">
        <f t="shared" si="2"/>
        <v>60</v>
      </c>
      <c r="L96" s="43">
        <f t="shared" si="3"/>
        <v>30715.799999999992</v>
      </c>
      <c r="M96" s="18" t="s">
        <v>412</v>
      </c>
      <c r="U96" s="43"/>
      <c r="V96" s="57">
        <f>SUM(U84:U94)</f>
        <v>-726.5</v>
      </c>
    </row>
    <row r="97" spans="1:24" x14ac:dyDescent="0.3">
      <c r="A97" s="12"/>
      <c r="B97" s="105" t="s">
        <v>482</v>
      </c>
      <c r="C97" s="4" t="s">
        <v>571</v>
      </c>
      <c r="D97" s="133" t="s">
        <v>512</v>
      </c>
      <c r="E97" s="120" t="s">
        <v>1382</v>
      </c>
      <c r="F97" s="27"/>
      <c r="G97" s="33"/>
      <c r="H97" s="42">
        <v>30</v>
      </c>
      <c r="I97" s="42"/>
      <c r="J97" s="42"/>
      <c r="K97" s="43">
        <f t="shared" si="2"/>
        <v>30</v>
      </c>
      <c r="L97" s="43">
        <f t="shared" si="3"/>
        <v>30745.799999999992</v>
      </c>
      <c r="M97" s="18" t="s">
        <v>90</v>
      </c>
    </row>
    <row r="98" spans="1:24" x14ac:dyDescent="0.3">
      <c r="A98" s="12"/>
      <c r="B98" s="105" t="s">
        <v>482</v>
      </c>
      <c r="C98" s="4" t="s">
        <v>1322</v>
      </c>
      <c r="D98" s="112" t="s">
        <v>504</v>
      </c>
      <c r="E98" s="121" t="s">
        <v>1320</v>
      </c>
      <c r="F98" s="27"/>
      <c r="G98" s="168" t="s">
        <v>1321</v>
      </c>
      <c r="H98" s="42"/>
      <c r="I98" s="42"/>
      <c r="J98" s="49">
        <v>-100</v>
      </c>
      <c r="K98" s="43">
        <f>H98+J98</f>
        <v>-100</v>
      </c>
      <c r="L98" s="75">
        <f>L97+K98</f>
        <v>30645.799999999992</v>
      </c>
      <c r="M98" s="18" t="s">
        <v>611</v>
      </c>
      <c r="R98" t="s">
        <v>652</v>
      </c>
      <c r="V98" s="74">
        <f>SUM(V80:V96)</f>
        <v>30645.8</v>
      </c>
      <c r="X98" s="23" t="s">
        <v>588</v>
      </c>
    </row>
    <row r="99" spans="1:24" x14ac:dyDescent="0.3">
      <c r="A99" s="12"/>
      <c r="B99" s="105"/>
      <c r="C99" s="4"/>
      <c r="D99" s="112"/>
      <c r="E99" s="120"/>
      <c r="F99" s="27"/>
      <c r="G99" s="168"/>
      <c r="H99" s="42"/>
      <c r="I99" s="42"/>
      <c r="J99" s="42"/>
      <c r="K99" s="43">
        <f t="shared" si="2"/>
        <v>0</v>
      </c>
      <c r="L99" s="43">
        <f t="shared" si="3"/>
        <v>30645.799999999992</v>
      </c>
    </row>
    <row r="100" spans="1:24" x14ac:dyDescent="0.3">
      <c r="A100" s="12"/>
      <c r="B100" s="105"/>
      <c r="C100" s="4"/>
      <c r="D100" s="133"/>
      <c r="E100" s="120"/>
      <c r="F100" s="27"/>
      <c r="G100" s="168"/>
      <c r="H100" s="42"/>
      <c r="I100" s="42"/>
      <c r="J100" s="42"/>
      <c r="K100" s="43">
        <f t="shared" si="2"/>
        <v>0</v>
      </c>
      <c r="L100" s="43">
        <f t="shared" si="3"/>
        <v>30645.799999999992</v>
      </c>
    </row>
    <row r="101" spans="1:24" x14ac:dyDescent="0.3">
      <c r="A101" s="12"/>
      <c r="B101" s="105"/>
      <c r="C101" s="4"/>
      <c r="D101" s="112"/>
      <c r="E101" s="120"/>
      <c r="F101" s="27"/>
      <c r="G101" s="33"/>
      <c r="H101" s="42"/>
      <c r="I101" s="42"/>
      <c r="J101" s="42"/>
      <c r="K101" s="43">
        <f t="shared" si="2"/>
        <v>0</v>
      </c>
      <c r="L101" s="43">
        <f t="shared" si="3"/>
        <v>30645.799999999992</v>
      </c>
      <c r="M101" s="43"/>
      <c r="N101" s="43"/>
    </row>
    <row r="102" spans="1:24" x14ac:dyDescent="0.3">
      <c r="A102" s="28" t="s">
        <v>78</v>
      </c>
      <c r="B102" s="105"/>
      <c r="D102" s="112"/>
      <c r="E102" s="33"/>
      <c r="F102" s="27"/>
      <c r="G102" s="33"/>
      <c r="H102" s="42"/>
      <c r="I102" s="42"/>
      <c r="J102" s="42"/>
      <c r="K102" s="43">
        <f t="shared" si="2"/>
        <v>0</v>
      </c>
      <c r="L102" s="43">
        <f t="shared" si="3"/>
        <v>30645.799999999992</v>
      </c>
    </row>
    <row r="103" spans="1:24" x14ac:dyDescent="0.3">
      <c r="A103" s="28"/>
      <c r="B103" s="105" t="s">
        <v>483</v>
      </c>
      <c r="C103" s="4" t="s">
        <v>1325</v>
      </c>
      <c r="D103" s="112" t="s">
        <v>504</v>
      </c>
      <c r="E103" s="121" t="s">
        <v>1316</v>
      </c>
      <c r="F103" s="27"/>
      <c r="G103" s="120" t="s">
        <v>464</v>
      </c>
      <c r="H103" s="42"/>
      <c r="I103" s="42"/>
      <c r="J103" s="49">
        <v>-100</v>
      </c>
      <c r="K103" s="43">
        <f t="shared" si="2"/>
        <v>-100</v>
      </c>
      <c r="L103" s="43">
        <f t="shared" si="3"/>
        <v>30545.799999999992</v>
      </c>
      <c r="M103" s="18" t="s">
        <v>90</v>
      </c>
    </row>
    <row r="104" spans="1:24" x14ac:dyDescent="0.3">
      <c r="A104" s="28"/>
      <c r="B104" s="105" t="s">
        <v>483</v>
      </c>
      <c r="C104" s="4" t="s">
        <v>1326</v>
      </c>
      <c r="D104" s="112" t="s">
        <v>500</v>
      </c>
      <c r="E104" s="121" t="s">
        <v>1327</v>
      </c>
      <c r="F104" s="27"/>
      <c r="G104" s="210"/>
      <c r="H104" s="49">
        <v>50</v>
      </c>
      <c r="I104" s="42"/>
      <c r="J104" s="42"/>
      <c r="K104" s="43">
        <f t="shared" si="0"/>
        <v>50</v>
      </c>
      <c r="L104" s="43">
        <f t="shared" si="3"/>
        <v>30595.799999999992</v>
      </c>
      <c r="M104" s="18" t="s">
        <v>90</v>
      </c>
    </row>
    <row r="105" spans="1:24" x14ac:dyDescent="0.3">
      <c r="A105" s="28"/>
      <c r="B105" s="105" t="s">
        <v>483</v>
      </c>
      <c r="C105" s="4" t="s">
        <v>638</v>
      </c>
      <c r="D105" s="112" t="s">
        <v>500</v>
      </c>
      <c r="E105" s="121" t="s">
        <v>241</v>
      </c>
      <c r="F105" s="27"/>
      <c r="G105" s="210"/>
      <c r="H105" s="49">
        <v>50</v>
      </c>
      <c r="I105" s="42"/>
      <c r="J105" s="42"/>
      <c r="K105" s="43">
        <f t="shared" si="0"/>
        <v>50</v>
      </c>
      <c r="L105" s="43">
        <f t="shared" si="3"/>
        <v>30645.799999999992</v>
      </c>
      <c r="M105" s="18" t="s">
        <v>412</v>
      </c>
      <c r="N105" s="23"/>
    </row>
    <row r="106" spans="1:24" x14ac:dyDescent="0.3">
      <c r="A106" s="28"/>
      <c r="B106" s="105" t="s">
        <v>483</v>
      </c>
      <c r="C106" s="4" t="s">
        <v>638</v>
      </c>
      <c r="D106" s="133" t="s">
        <v>512</v>
      </c>
      <c r="E106" s="120"/>
      <c r="F106" s="27"/>
      <c r="G106" s="210"/>
      <c r="H106" s="42">
        <v>60</v>
      </c>
      <c r="I106" s="42"/>
      <c r="J106" s="42"/>
      <c r="K106" s="43">
        <f>H106+J106</f>
        <v>60</v>
      </c>
      <c r="L106" s="43">
        <f t="shared" si="3"/>
        <v>30705.799999999992</v>
      </c>
      <c r="M106" s="18" t="s">
        <v>412</v>
      </c>
      <c r="N106" s="23"/>
    </row>
    <row r="107" spans="1:24" x14ac:dyDescent="0.3">
      <c r="A107" s="28"/>
      <c r="B107" s="105" t="s">
        <v>483</v>
      </c>
      <c r="C107" s="4" t="s">
        <v>830</v>
      </c>
      <c r="D107" s="133" t="s">
        <v>512</v>
      </c>
      <c r="E107" s="120"/>
      <c r="F107" s="27"/>
      <c r="G107" s="33"/>
      <c r="H107" s="42">
        <v>60</v>
      </c>
      <c r="I107" s="42"/>
      <c r="J107" s="42"/>
      <c r="K107" s="43">
        <f t="shared" si="0"/>
        <v>60</v>
      </c>
      <c r="L107" s="43">
        <f t="shared" si="3"/>
        <v>30765.799999999992</v>
      </c>
      <c r="M107" s="18" t="s">
        <v>90</v>
      </c>
    </row>
    <row r="108" spans="1:24" x14ac:dyDescent="0.3">
      <c r="A108" s="12"/>
      <c r="B108" s="105" t="s">
        <v>483</v>
      </c>
      <c r="C108" s="4" t="s">
        <v>1328</v>
      </c>
      <c r="D108" s="133" t="s">
        <v>622</v>
      </c>
      <c r="E108" s="120" t="s">
        <v>1329</v>
      </c>
      <c r="F108" s="27"/>
      <c r="G108" s="33"/>
      <c r="H108" s="42">
        <v>5170.58</v>
      </c>
      <c r="I108" s="42"/>
      <c r="J108" s="42"/>
      <c r="K108" s="43">
        <f t="shared" si="0"/>
        <v>5170.58</v>
      </c>
      <c r="L108" s="43">
        <f t="shared" si="3"/>
        <v>35936.37999999999</v>
      </c>
      <c r="M108" s="18" t="s">
        <v>90</v>
      </c>
    </row>
    <row r="109" spans="1:24" x14ac:dyDescent="0.3">
      <c r="A109" s="12"/>
      <c r="B109" s="105" t="s">
        <v>483</v>
      </c>
      <c r="C109" s="4" t="s">
        <v>1265</v>
      </c>
      <c r="D109" s="112" t="s">
        <v>504</v>
      </c>
      <c r="E109" s="121" t="s">
        <v>1330</v>
      </c>
      <c r="F109" s="27"/>
      <c r="G109" s="33">
        <v>500806</v>
      </c>
      <c r="H109" s="42"/>
      <c r="I109" s="42"/>
      <c r="J109" s="49">
        <v>-50</v>
      </c>
      <c r="K109" s="43">
        <f t="shared" si="0"/>
        <v>-50</v>
      </c>
      <c r="L109" s="43">
        <f t="shared" si="3"/>
        <v>35886.37999999999</v>
      </c>
      <c r="M109" s="18" t="s">
        <v>1408</v>
      </c>
    </row>
    <row r="110" spans="1:24" x14ac:dyDescent="0.3">
      <c r="A110" s="12"/>
      <c r="B110" s="105" t="s">
        <v>483</v>
      </c>
      <c r="C110" s="279" t="s">
        <v>1346</v>
      </c>
      <c r="D110" s="116" t="s">
        <v>1332</v>
      </c>
      <c r="E110" s="120"/>
      <c r="F110" s="27"/>
      <c r="G110" s="33"/>
      <c r="H110" s="42"/>
      <c r="I110" s="42"/>
      <c r="J110" s="278">
        <v>-15000</v>
      </c>
      <c r="K110" s="43">
        <f t="shared" si="0"/>
        <v>-15000</v>
      </c>
      <c r="L110" s="43">
        <f t="shared" si="3"/>
        <v>20886.37999999999</v>
      </c>
      <c r="M110" s="18" t="s">
        <v>90</v>
      </c>
      <c r="N110" t="s">
        <v>1333</v>
      </c>
    </row>
    <row r="111" spans="1:24" x14ac:dyDescent="0.3">
      <c r="A111" s="12"/>
      <c r="B111" s="105" t="s">
        <v>483</v>
      </c>
      <c r="C111" s="4" t="s">
        <v>1335</v>
      </c>
      <c r="D111" s="133" t="s">
        <v>518</v>
      </c>
      <c r="E111" s="120" t="s">
        <v>1336</v>
      </c>
      <c r="F111" s="27"/>
      <c r="G111" s="120" t="s">
        <v>464</v>
      </c>
      <c r="H111" s="42"/>
      <c r="I111" s="42"/>
      <c r="J111" s="42">
        <v>-222</v>
      </c>
      <c r="K111" s="43">
        <f t="shared" si="0"/>
        <v>-222</v>
      </c>
      <c r="L111" s="43">
        <f t="shared" si="3"/>
        <v>20664.37999999999</v>
      </c>
      <c r="M111" s="18" t="s">
        <v>90</v>
      </c>
      <c r="R111" s="30" t="s">
        <v>1347</v>
      </c>
    </row>
    <row r="112" spans="1:24" x14ac:dyDescent="0.3">
      <c r="A112" s="12"/>
      <c r="B112" s="105" t="s">
        <v>483</v>
      </c>
      <c r="C112" s="4" t="s">
        <v>58</v>
      </c>
      <c r="D112" s="132" t="s">
        <v>9</v>
      </c>
      <c r="E112" s="168">
        <v>43831</v>
      </c>
      <c r="F112" s="27"/>
      <c r="G112" s="33"/>
      <c r="H112" s="42"/>
      <c r="I112" s="171"/>
      <c r="J112" s="42">
        <v>-151.36000000000001</v>
      </c>
      <c r="K112" s="43">
        <f t="shared" si="0"/>
        <v>-151.36000000000001</v>
      </c>
      <c r="L112" s="43">
        <f t="shared" si="3"/>
        <v>20513.01999999999</v>
      </c>
      <c r="M112" s="18" t="s">
        <v>90</v>
      </c>
    </row>
    <row r="113" spans="1:24" x14ac:dyDescent="0.3">
      <c r="A113" s="12"/>
      <c r="B113" s="105" t="s">
        <v>483</v>
      </c>
      <c r="C113" s="4" t="s">
        <v>299</v>
      </c>
      <c r="D113" s="133" t="s">
        <v>301</v>
      </c>
      <c r="E113" s="213"/>
      <c r="F113" s="213"/>
      <c r="G113" s="214"/>
      <c r="H113" s="215"/>
      <c r="I113" s="215"/>
      <c r="J113" s="232">
        <v>-37.68</v>
      </c>
      <c r="K113" s="43">
        <f t="shared" si="0"/>
        <v>-37.68</v>
      </c>
      <c r="L113" s="43">
        <f t="shared" si="3"/>
        <v>20475.339999999989</v>
      </c>
      <c r="M113" s="18" t="s">
        <v>90</v>
      </c>
      <c r="R113" t="s">
        <v>584</v>
      </c>
      <c r="V113" s="15">
        <v>19413.09</v>
      </c>
    </row>
    <row r="114" spans="1:24" x14ac:dyDescent="0.3">
      <c r="B114" s="105" t="s">
        <v>483</v>
      </c>
      <c r="C114" s="4" t="s">
        <v>607</v>
      </c>
      <c r="D114" s="133" t="s">
        <v>11</v>
      </c>
      <c r="E114" s="213"/>
      <c r="F114" s="213"/>
      <c r="G114" s="214"/>
      <c r="H114" s="215"/>
      <c r="I114" s="215"/>
      <c r="J114" s="232">
        <v>-200</v>
      </c>
      <c r="K114" s="43">
        <f t="shared" si="0"/>
        <v>-200</v>
      </c>
      <c r="L114" s="43">
        <f t="shared" si="3"/>
        <v>20275.339999999989</v>
      </c>
      <c r="M114" s="16" t="s">
        <v>1356</v>
      </c>
    </row>
    <row r="115" spans="1:24" x14ac:dyDescent="0.3">
      <c r="B115" s="105" t="s">
        <v>483</v>
      </c>
      <c r="C115" s="214" t="s">
        <v>1109</v>
      </c>
      <c r="D115" s="133" t="s">
        <v>12</v>
      </c>
      <c r="E115" s="213"/>
      <c r="F115" s="215"/>
      <c r="G115" s="214"/>
      <c r="H115" s="215"/>
      <c r="I115" s="215"/>
      <c r="J115" s="232">
        <v>-29.4</v>
      </c>
      <c r="K115" s="43">
        <f t="shared" si="0"/>
        <v>-29.4</v>
      </c>
      <c r="L115" s="43">
        <f t="shared" si="3"/>
        <v>20245.939999999988</v>
      </c>
      <c r="M115" s="18" t="s">
        <v>90</v>
      </c>
      <c r="R115" t="s">
        <v>650</v>
      </c>
      <c r="U115" s="43"/>
      <c r="V115" s="15">
        <v>108</v>
      </c>
      <c r="W115" t="s">
        <v>90</v>
      </c>
    </row>
    <row r="116" spans="1:24" x14ac:dyDescent="0.3">
      <c r="B116" s="105" t="s">
        <v>483</v>
      </c>
      <c r="C116" s="4" t="s">
        <v>48</v>
      </c>
      <c r="D116" s="133" t="s">
        <v>12</v>
      </c>
      <c r="E116" s="213"/>
      <c r="F116" s="215"/>
      <c r="G116" s="214"/>
      <c r="H116" s="215"/>
      <c r="I116" s="215"/>
      <c r="J116" s="232">
        <v>-71.599999999999994</v>
      </c>
      <c r="K116" s="43">
        <f t="shared" si="0"/>
        <v>-71.599999999999994</v>
      </c>
      <c r="L116" s="43">
        <f t="shared" si="3"/>
        <v>20174.339999999989</v>
      </c>
      <c r="M116" s="18" t="s">
        <v>90</v>
      </c>
      <c r="R116" t="s">
        <v>586</v>
      </c>
      <c r="U116" s="43"/>
      <c r="W116"/>
    </row>
    <row r="117" spans="1:24" x14ac:dyDescent="0.3">
      <c r="B117" s="105" t="s">
        <v>483</v>
      </c>
      <c r="C117" s="4" t="s">
        <v>1337</v>
      </c>
      <c r="D117" s="133" t="s">
        <v>518</v>
      </c>
      <c r="E117" s="120" t="s">
        <v>1338</v>
      </c>
      <c r="F117" s="27"/>
      <c r="G117" s="210" t="s">
        <v>464</v>
      </c>
      <c r="H117" s="42"/>
      <c r="I117" s="42"/>
      <c r="J117" s="42">
        <v>-216</v>
      </c>
      <c r="K117" s="43">
        <f t="shared" si="0"/>
        <v>-216</v>
      </c>
      <c r="L117" s="43">
        <f t="shared" si="3"/>
        <v>19958.339999999989</v>
      </c>
      <c r="M117" s="18" t="s">
        <v>90</v>
      </c>
      <c r="R117" s="252" t="s">
        <v>1324</v>
      </c>
      <c r="S117"/>
      <c r="U117" s="43">
        <v>-50</v>
      </c>
      <c r="V117" t="s">
        <v>90</v>
      </c>
    </row>
    <row r="118" spans="1:24" x14ac:dyDescent="0.3">
      <c r="B118" s="105" t="s">
        <v>483</v>
      </c>
      <c r="C118" s="4" t="s">
        <v>1326</v>
      </c>
      <c r="D118" s="133" t="s">
        <v>512</v>
      </c>
      <c r="E118" s="168"/>
      <c r="F118" s="27"/>
      <c r="G118" s="120"/>
      <c r="H118" s="42">
        <v>80</v>
      </c>
      <c r="I118" s="42"/>
      <c r="J118" s="42"/>
      <c r="K118" s="43">
        <f t="shared" si="0"/>
        <v>80</v>
      </c>
      <c r="L118" s="43">
        <f t="shared" si="3"/>
        <v>20038.339999999989</v>
      </c>
      <c r="M118" s="18" t="s">
        <v>90</v>
      </c>
      <c r="R118" s="252" t="s">
        <v>1223</v>
      </c>
      <c r="U118" s="4">
        <v>-50</v>
      </c>
    </row>
    <row r="119" spans="1:24" x14ac:dyDescent="0.3">
      <c r="A119" s="12"/>
      <c r="B119" s="105" t="s">
        <v>483</v>
      </c>
      <c r="C119" s="4" t="s">
        <v>670</v>
      </c>
      <c r="D119" s="133" t="s">
        <v>512</v>
      </c>
      <c r="E119" s="210"/>
      <c r="F119" s="27"/>
      <c r="G119" s="210"/>
      <c r="H119" s="42">
        <v>51</v>
      </c>
      <c r="I119" s="42"/>
      <c r="J119" s="42"/>
      <c r="K119" s="43">
        <f t="shared" si="0"/>
        <v>51</v>
      </c>
      <c r="L119" s="43">
        <f t="shared" si="3"/>
        <v>20089.339999999989</v>
      </c>
      <c r="M119" s="18" t="s">
        <v>90</v>
      </c>
      <c r="R119" s="252" t="s">
        <v>1219</v>
      </c>
      <c r="U119" s="4">
        <v>-50</v>
      </c>
    </row>
    <row r="120" spans="1:24" x14ac:dyDescent="0.3">
      <c r="B120" s="105" t="s">
        <v>483</v>
      </c>
      <c r="C120" s="4" t="s">
        <v>1339</v>
      </c>
      <c r="D120" s="112" t="s">
        <v>500</v>
      </c>
      <c r="E120" s="121" t="s">
        <v>242</v>
      </c>
      <c r="F120" s="27"/>
      <c r="G120" s="210"/>
      <c r="H120" s="49">
        <v>50</v>
      </c>
      <c r="I120" s="42"/>
      <c r="J120" s="42"/>
      <c r="K120" s="43">
        <f t="shared" si="0"/>
        <v>50</v>
      </c>
      <c r="L120" s="43">
        <f t="shared" si="3"/>
        <v>20139.339999999989</v>
      </c>
      <c r="M120" s="16" t="s">
        <v>90</v>
      </c>
      <c r="N120" s="23" t="s">
        <v>1387</v>
      </c>
      <c r="R120" s="252" t="s">
        <v>1233</v>
      </c>
      <c r="U120" s="4">
        <v>-50</v>
      </c>
      <c r="V120" s="57"/>
      <c r="W120"/>
    </row>
    <row r="121" spans="1:24" x14ac:dyDescent="0.3">
      <c r="B121" s="105" t="s">
        <v>483</v>
      </c>
      <c r="C121" s="4" t="s">
        <v>1341</v>
      </c>
      <c r="D121" s="112" t="s">
        <v>500</v>
      </c>
      <c r="E121" s="121" t="s">
        <v>1340</v>
      </c>
      <c r="F121" s="27"/>
      <c r="G121" s="210"/>
      <c r="H121" s="49">
        <v>50</v>
      </c>
      <c r="I121" s="42"/>
      <c r="J121" s="42"/>
      <c r="K121" s="43">
        <f t="shared" si="0"/>
        <v>50</v>
      </c>
      <c r="L121" s="43">
        <f t="shared" si="3"/>
        <v>20189.339999999989</v>
      </c>
      <c r="M121" s="18" t="s">
        <v>90</v>
      </c>
      <c r="R121" s="252" t="s">
        <v>1256</v>
      </c>
      <c r="S121"/>
      <c r="U121" s="4">
        <v>-50</v>
      </c>
      <c r="W121"/>
    </row>
    <row r="122" spans="1:24" x14ac:dyDescent="0.3">
      <c r="B122" s="105" t="s">
        <v>483</v>
      </c>
      <c r="C122" s="4" t="s">
        <v>193</v>
      </c>
      <c r="D122" s="132" t="s">
        <v>5</v>
      </c>
      <c r="E122" s="120"/>
      <c r="F122" s="27"/>
      <c r="G122" s="168"/>
      <c r="H122" s="42">
        <v>150</v>
      </c>
      <c r="I122" s="42"/>
      <c r="J122" s="42"/>
      <c r="K122" s="43">
        <f t="shared" si="0"/>
        <v>150</v>
      </c>
      <c r="L122" s="43">
        <f t="shared" si="3"/>
        <v>20339.339999999989</v>
      </c>
      <c r="M122" s="16" t="s">
        <v>90</v>
      </c>
      <c r="R122" s="252" t="s">
        <v>1348</v>
      </c>
      <c r="S122"/>
      <c r="U122" s="43">
        <v>-50</v>
      </c>
      <c r="V122" s="57"/>
      <c r="W122"/>
    </row>
    <row r="123" spans="1:24" x14ac:dyDescent="0.3">
      <c r="B123" s="105" t="s">
        <v>483</v>
      </c>
      <c r="C123" s="4" t="s">
        <v>1326</v>
      </c>
      <c r="D123" s="112" t="s">
        <v>504</v>
      </c>
      <c r="E123" s="121" t="s">
        <v>1117</v>
      </c>
      <c r="F123" s="128"/>
      <c r="G123" s="120">
        <v>500809</v>
      </c>
      <c r="H123" s="170"/>
      <c r="I123" s="170"/>
      <c r="J123" s="275">
        <v>-50</v>
      </c>
      <c r="K123" s="43">
        <f t="shared" si="0"/>
        <v>-50</v>
      </c>
      <c r="L123" s="43">
        <f t="shared" si="3"/>
        <v>20289.339999999989</v>
      </c>
      <c r="M123" s="18" t="s">
        <v>1366</v>
      </c>
      <c r="R123" s="252" t="s">
        <v>1349</v>
      </c>
      <c r="U123" s="4">
        <v>-50</v>
      </c>
      <c r="W123" t="s">
        <v>90</v>
      </c>
    </row>
    <row r="124" spans="1:24" x14ac:dyDescent="0.3">
      <c r="A124" s="12"/>
      <c r="B124" s="105" t="s">
        <v>483</v>
      </c>
      <c r="C124" s="4" t="s">
        <v>1343</v>
      </c>
      <c r="D124" s="112" t="s">
        <v>500</v>
      </c>
      <c r="E124" s="121" t="s">
        <v>1344</v>
      </c>
      <c r="F124" s="27"/>
      <c r="G124" s="210"/>
      <c r="H124" s="49">
        <v>50</v>
      </c>
      <c r="I124" s="170"/>
      <c r="J124" s="170"/>
      <c r="K124" s="43">
        <f t="shared" si="0"/>
        <v>50</v>
      </c>
      <c r="L124" s="43">
        <f t="shared" si="3"/>
        <v>20339.339999999989</v>
      </c>
      <c r="M124" s="16" t="s">
        <v>412</v>
      </c>
      <c r="N124" s="23" t="s">
        <v>1375</v>
      </c>
      <c r="R124" t="s">
        <v>1100</v>
      </c>
      <c r="U124" s="4">
        <v>-291.60000000000002</v>
      </c>
      <c r="W124" t="s">
        <v>90</v>
      </c>
    </row>
    <row r="125" spans="1:24" x14ac:dyDescent="0.3">
      <c r="A125" s="12"/>
      <c r="B125" s="105" t="s">
        <v>483</v>
      </c>
      <c r="C125" s="4" t="s">
        <v>1343</v>
      </c>
      <c r="D125" s="133" t="s">
        <v>512</v>
      </c>
      <c r="E125" s="120"/>
      <c r="F125" s="27"/>
      <c r="G125" s="210"/>
      <c r="H125" s="42">
        <v>60</v>
      </c>
      <c r="I125" s="170"/>
      <c r="J125" s="170"/>
      <c r="K125" s="43">
        <f t="shared" si="0"/>
        <v>60</v>
      </c>
      <c r="L125" s="43">
        <f t="shared" si="3"/>
        <v>20399.339999999989</v>
      </c>
      <c r="M125" s="16" t="s">
        <v>412</v>
      </c>
      <c r="N125" s="23" t="s">
        <v>1383</v>
      </c>
      <c r="R125" t="s">
        <v>1352</v>
      </c>
      <c r="U125" s="4">
        <v>-200</v>
      </c>
      <c r="W125" t="s">
        <v>90</v>
      </c>
    </row>
    <row r="126" spans="1:24" x14ac:dyDescent="0.3">
      <c r="A126" s="12"/>
      <c r="B126" s="105" t="s">
        <v>483</v>
      </c>
      <c r="C126" s="4" t="s">
        <v>58</v>
      </c>
      <c r="D126" s="112" t="s">
        <v>8</v>
      </c>
      <c r="E126" s="120"/>
      <c r="F126" s="27"/>
      <c r="G126" s="33"/>
      <c r="H126" s="42"/>
      <c r="I126" s="42"/>
      <c r="J126" s="42">
        <v>-1566.25</v>
      </c>
      <c r="K126" s="43">
        <f t="shared" si="0"/>
        <v>-1566.25</v>
      </c>
      <c r="L126" s="43">
        <f t="shared" si="3"/>
        <v>18833.089999999989</v>
      </c>
      <c r="M126" s="16" t="s">
        <v>90</v>
      </c>
      <c r="N126" s="18"/>
      <c r="V126" s="11">
        <f>SUM(U117:U125)</f>
        <v>-841.6</v>
      </c>
    </row>
    <row r="127" spans="1:24" x14ac:dyDescent="0.3">
      <c r="A127" s="12"/>
      <c r="B127" s="105" t="s">
        <v>483</v>
      </c>
      <c r="C127" s="4" t="s">
        <v>1212</v>
      </c>
      <c r="D127" s="133" t="s">
        <v>512</v>
      </c>
      <c r="E127" s="120"/>
      <c r="F127" s="27"/>
      <c r="G127" s="33"/>
      <c r="H127" s="42">
        <v>10</v>
      </c>
      <c r="I127" s="42"/>
      <c r="J127" s="42"/>
      <c r="K127" s="43">
        <f t="shared" ref="K127:K196" si="4">H127+J127</f>
        <v>10</v>
      </c>
      <c r="L127" s="43">
        <f t="shared" si="3"/>
        <v>18843.089999999989</v>
      </c>
      <c r="M127" s="18" t="s">
        <v>90</v>
      </c>
      <c r="N127" s="18"/>
    </row>
    <row r="128" spans="1:24" x14ac:dyDescent="0.3">
      <c r="A128" s="12"/>
      <c r="B128" s="105" t="s">
        <v>483</v>
      </c>
      <c r="C128" s="4" t="s">
        <v>1345</v>
      </c>
      <c r="D128" s="133" t="s">
        <v>512</v>
      </c>
      <c r="E128" s="120"/>
      <c r="F128" s="27"/>
      <c r="G128" s="33"/>
      <c r="H128" s="42">
        <v>20</v>
      </c>
      <c r="I128" s="42"/>
      <c r="J128" s="42"/>
      <c r="K128" s="43">
        <f t="shared" si="4"/>
        <v>20</v>
      </c>
      <c r="L128" s="43">
        <f t="shared" si="3"/>
        <v>18863.089999999989</v>
      </c>
      <c r="M128" s="18" t="s">
        <v>90</v>
      </c>
      <c r="N128" s="18"/>
      <c r="R128" t="s">
        <v>652</v>
      </c>
      <c r="V128" s="15">
        <f>SUM(V113:V126)</f>
        <v>18679.490000000002</v>
      </c>
      <c r="W128" t="s">
        <v>588</v>
      </c>
      <c r="X128" s="57"/>
    </row>
    <row r="129" spans="1:24" x14ac:dyDescent="0.3">
      <c r="A129" s="12"/>
      <c r="B129" s="105" t="s">
        <v>483</v>
      </c>
      <c r="C129" s="280" t="s">
        <v>1271</v>
      </c>
      <c r="D129" s="133" t="s">
        <v>12</v>
      </c>
      <c r="E129" s="210" t="s">
        <v>1360</v>
      </c>
      <c r="F129" s="27"/>
      <c r="G129" s="210"/>
      <c r="H129" s="42"/>
      <c r="I129" s="42"/>
      <c r="J129" s="42">
        <v>-291.60000000000002</v>
      </c>
      <c r="K129" s="43">
        <f t="shared" si="4"/>
        <v>-291.60000000000002</v>
      </c>
      <c r="L129" s="43">
        <f t="shared" si="3"/>
        <v>18571.489999999991</v>
      </c>
      <c r="M129" s="16" t="s">
        <v>1356</v>
      </c>
      <c r="N129" s="18"/>
    </row>
    <row r="130" spans="1:24" ht="14" x14ac:dyDescent="0.3">
      <c r="A130" s="12"/>
      <c r="B130" s="105" t="s">
        <v>483</v>
      </c>
      <c r="C130" s="4" t="s">
        <v>1350</v>
      </c>
      <c r="D130" s="132" t="s">
        <v>513</v>
      </c>
      <c r="E130" s="120"/>
      <c r="F130" s="27"/>
      <c r="G130" s="33"/>
      <c r="H130" s="51">
        <v>108</v>
      </c>
      <c r="I130" s="42"/>
      <c r="J130" s="42"/>
      <c r="K130" s="43">
        <f t="shared" si="4"/>
        <v>108</v>
      </c>
      <c r="L130" s="281">
        <f t="shared" si="3"/>
        <v>18679.489999999991</v>
      </c>
      <c r="M130" s="16" t="s">
        <v>1356</v>
      </c>
      <c r="N130" s="18"/>
    </row>
    <row r="131" spans="1:24" x14ac:dyDescent="0.3">
      <c r="A131" s="12"/>
      <c r="B131" s="105"/>
      <c r="C131" s="11"/>
      <c r="D131" s="11"/>
      <c r="E131" s="33"/>
      <c r="F131" s="27"/>
      <c r="G131" s="33"/>
      <c r="H131" s="42"/>
      <c r="I131" s="42"/>
      <c r="J131" s="42"/>
      <c r="K131" s="43">
        <f t="shared" si="4"/>
        <v>0</v>
      </c>
      <c r="L131" s="43">
        <f t="shared" si="3"/>
        <v>18679.489999999991</v>
      </c>
    </row>
    <row r="132" spans="1:24" x14ac:dyDescent="0.3">
      <c r="A132" s="28" t="s">
        <v>79</v>
      </c>
      <c r="B132" s="105"/>
      <c r="C132" s="11"/>
      <c r="D132" s="11"/>
      <c r="E132" s="33"/>
      <c r="F132" s="52"/>
      <c r="G132" s="33"/>
      <c r="H132" s="42"/>
      <c r="I132" s="42"/>
      <c r="J132" s="42"/>
      <c r="K132" s="43">
        <f t="shared" si="4"/>
        <v>0</v>
      </c>
      <c r="L132" s="43">
        <f t="shared" si="3"/>
        <v>18679.489999999991</v>
      </c>
    </row>
    <row r="133" spans="1:24" x14ac:dyDescent="0.3">
      <c r="A133" s="12"/>
      <c r="B133" s="105" t="s">
        <v>484</v>
      </c>
      <c r="C133" s="4" t="s">
        <v>1353</v>
      </c>
      <c r="D133" s="112" t="s">
        <v>504</v>
      </c>
      <c r="E133" s="121" t="s">
        <v>1084</v>
      </c>
      <c r="F133" s="128"/>
      <c r="G133" s="120">
        <v>500810</v>
      </c>
      <c r="H133" s="170"/>
      <c r="I133" s="170"/>
      <c r="J133" s="275">
        <v>-50</v>
      </c>
      <c r="K133" s="43">
        <f t="shared" si="4"/>
        <v>-50</v>
      </c>
      <c r="L133" s="43">
        <f t="shared" si="3"/>
        <v>18629.489999999991</v>
      </c>
      <c r="M133" s="18" t="s">
        <v>90</v>
      </c>
    </row>
    <row r="134" spans="1:24" x14ac:dyDescent="0.3">
      <c r="B134" s="105" t="s">
        <v>484</v>
      </c>
      <c r="C134" s="4" t="s">
        <v>1189</v>
      </c>
      <c r="D134" s="133" t="s">
        <v>512</v>
      </c>
      <c r="E134" s="120"/>
      <c r="F134" s="128"/>
      <c r="G134" s="120"/>
      <c r="H134" s="170">
        <v>400</v>
      </c>
      <c r="I134" s="170"/>
      <c r="J134" s="170"/>
      <c r="K134" s="43">
        <f>H134+J134</f>
        <v>400</v>
      </c>
      <c r="L134" s="43">
        <f t="shared" si="3"/>
        <v>19029.489999999991</v>
      </c>
      <c r="M134" s="18" t="s">
        <v>90</v>
      </c>
    </row>
    <row r="135" spans="1:24" x14ac:dyDescent="0.3">
      <c r="A135" s="53"/>
      <c r="B135" s="105" t="s">
        <v>484</v>
      </c>
      <c r="C135" s="4" t="s">
        <v>1355</v>
      </c>
      <c r="D135" s="112" t="s">
        <v>500</v>
      </c>
      <c r="E135" s="121" t="s">
        <v>1354</v>
      </c>
      <c r="F135" s="27"/>
      <c r="G135" s="210"/>
      <c r="H135" s="49">
        <v>50</v>
      </c>
      <c r="I135" s="170"/>
      <c r="J135" s="170"/>
      <c r="K135" s="43">
        <f>H135+J135</f>
        <v>50</v>
      </c>
      <c r="L135" s="43">
        <f t="shared" ref="L135:L168" si="5">L134+K135</f>
        <v>19079.489999999991</v>
      </c>
      <c r="M135" s="18" t="s">
        <v>412</v>
      </c>
    </row>
    <row r="136" spans="1:24" x14ac:dyDescent="0.3">
      <c r="A136" s="53"/>
      <c r="B136" s="105" t="s">
        <v>484</v>
      </c>
      <c r="C136" s="4" t="s">
        <v>1355</v>
      </c>
      <c r="D136" s="133" t="s">
        <v>512</v>
      </c>
      <c r="E136" s="120"/>
      <c r="F136" s="128"/>
      <c r="G136" s="120"/>
      <c r="H136" s="170">
        <v>80</v>
      </c>
      <c r="I136" s="170"/>
      <c r="J136" s="170"/>
      <c r="K136" s="43">
        <f>H136+J136</f>
        <v>80</v>
      </c>
      <c r="L136" s="43">
        <f t="shared" si="5"/>
        <v>19159.489999999991</v>
      </c>
      <c r="M136" s="18" t="s">
        <v>412</v>
      </c>
      <c r="R136" s="30" t="s">
        <v>1038</v>
      </c>
    </row>
    <row r="137" spans="1:24" x14ac:dyDescent="0.3">
      <c r="B137" s="105" t="s">
        <v>484</v>
      </c>
      <c r="C137" s="4" t="s">
        <v>1355</v>
      </c>
      <c r="D137" s="112" t="s">
        <v>504</v>
      </c>
      <c r="E137" s="121" t="s">
        <v>1058</v>
      </c>
      <c r="F137" s="128"/>
      <c r="G137" s="120" t="s">
        <v>464</v>
      </c>
      <c r="H137" s="170"/>
      <c r="I137" s="170"/>
      <c r="J137" s="275">
        <v>-50</v>
      </c>
      <c r="K137" s="43">
        <f>H137+J137</f>
        <v>-50</v>
      </c>
      <c r="L137" s="43">
        <f t="shared" si="5"/>
        <v>19109.489999999991</v>
      </c>
      <c r="M137" s="16" t="s">
        <v>90</v>
      </c>
      <c r="N137" s="252" t="s">
        <v>1358</v>
      </c>
    </row>
    <row r="138" spans="1:24" x14ac:dyDescent="0.3">
      <c r="B138" s="105" t="s">
        <v>484</v>
      </c>
      <c r="C138" s="4" t="s">
        <v>604</v>
      </c>
      <c r="D138" s="133" t="s">
        <v>512</v>
      </c>
      <c r="E138" s="120"/>
      <c r="F138" s="27"/>
      <c r="G138" s="33"/>
      <c r="H138" s="42">
        <v>51</v>
      </c>
      <c r="I138" s="42"/>
      <c r="J138" s="42"/>
      <c r="K138" s="43">
        <f t="shared" si="4"/>
        <v>51</v>
      </c>
      <c r="L138" s="43">
        <f t="shared" si="5"/>
        <v>19160.489999999991</v>
      </c>
      <c r="M138" s="16" t="s">
        <v>90</v>
      </c>
      <c r="R138" t="s">
        <v>584</v>
      </c>
      <c r="V138" s="15">
        <v>18616.38</v>
      </c>
      <c r="X138" t="s">
        <v>1367</v>
      </c>
    </row>
    <row r="139" spans="1:24" x14ac:dyDescent="0.3">
      <c r="B139" s="105" t="s">
        <v>484</v>
      </c>
      <c r="C139" s="4" t="s">
        <v>1133</v>
      </c>
      <c r="D139" s="133" t="s">
        <v>512</v>
      </c>
      <c r="E139" s="120"/>
      <c r="F139" s="27"/>
      <c r="G139" s="33"/>
      <c r="H139" s="42">
        <v>20</v>
      </c>
      <c r="I139" s="42"/>
      <c r="J139" s="42"/>
      <c r="K139" s="43">
        <f t="shared" si="4"/>
        <v>20</v>
      </c>
      <c r="L139" s="43">
        <f t="shared" si="5"/>
        <v>19180.489999999991</v>
      </c>
      <c r="M139" s="18" t="s">
        <v>90</v>
      </c>
      <c r="N139"/>
    </row>
    <row r="140" spans="1:24" x14ac:dyDescent="0.3">
      <c r="A140" s="12"/>
      <c r="B140" s="105" t="s">
        <v>484</v>
      </c>
      <c r="C140" s="4" t="s">
        <v>1357</v>
      </c>
      <c r="D140" s="132" t="s">
        <v>86</v>
      </c>
      <c r="E140" s="120"/>
      <c r="F140" s="27"/>
      <c r="G140" s="120" t="s">
        <v>464</v>
      </c>
      <c r="H140" s="42"/>
      <c r="I140" s="42"/>
      <c r="J140" s="42">
        <v>-100</v>
      </c>
      <c r="K140" s="43">
        <f t="shared" si="4"/>
        <v>-100</v>
      </c>
      <c r="L140" s="43">
        <f t="shared" si="5"/>
        <v>19080.489999999991</v>
      </c>
      <c r="M140" s="18" t="s">
        <v>90</v>
      </c>
      <c r="N140"/>
      <c r="R140" t="s">
        <v>650</v>
      </c>
      <c r="U140" s="43"/>
    </row>
    <row r="141" spans="1:24" x14ac:dyDescent="0.3">
      <c r="A141" s="12"/>
      <c r="B141" s="105" t="s">
        <v>484</v>
      </c>
      <c r="C141" s="4" t="s">
        <v>628</v>
      </c>
      <c r="D141" s="112" t="s">
        <v>504</v>
      </c>
      <c r="E141" s="121" t="s">
        <v>981</v>
      </c>
      <c r="F141" s="27"/>
      <c r="G141" s="120">
        <v>500812</v>
      </c>
      <c r="H141" s="42"/>
      <c r="I141" s="42"/>
      <c r="J141" s="49">
        <v>-50</v>
      </c>
      <c r="K141" s="43">
        <f t="shared" si="4"/>
        <v>-50</v>
      </c>
      <c r="L141" s="43">
        <f t="shared" si="5"/>
        <v>19030.489999999991</v>
      </c>
      <c r="M141" s="18" t="s">
        <v>90</v>
      </c>
      <c r="N141"/>
      <c r="R141" t="s">
        <v>586</v>
      </c>
      <c r="U141" s="43"/>
    </row>
    <row r="142" spans="1:24" x14ac:dyDescent="0.3">
      <c r="B142" s="105" t="s">
        <v>484</v>
      </c>
      <c r="C142" s="4" t="s">
        <v>1070</v>
      </c>
      <c r="D142" s="132" t="s">
        <v>513</v>
      </c>
      <c r="E142" s="120"/>
      <c r="F142" s="27"/>
      <c r="G142" s="120"/>
      <c r="H142" s="51">
        <v>186.2</v>
      </c>
      <c r="I142" s="42"/>
      <c r="J142" s="42"/>
      <c r="K142" s="43">
        <f t="shared" si="4"/>
        <v>186.2</v>
      </c>
      <c r="L142" s="43">
        <f t="shared" si="5"/>
        <v>19216.689999999991</v>
      </c>
      <c r="M142" s="18" t="s">
        <v>90</v>
      </c>
      <c r="R142">
        <v>500763</v>
      </c>
      <c r="S142"/>
      <c r="T142"/>
      <c r="U142" s="4">
        <v>-50</v>
      </c>
      <c r="V142" s="57"/>
      <c r="W142"/>
    </row>
    <row r="143" spans="1:24" x14ac:dyDescent="0.3">
      <c r="A143" s="12"/>
      <c r="B143" s="105" t="s">
        <v>484</v>
      </c>
      <c r="C143" s="4" t="s">
        <v>58</v>
      </c>
      <c r="D143" s="132" t="s">
        <v>9</v>
      </c>
      <c r="E143" s="168" t="s">
        <v>1359</v>
      </c>
      <c r="F143" s="27"/>
      <c r="G143" s="33"/>
      <c r="H143" s="42"/>
      <c r="I143" s="171"/>
      <c r="J143" s="42">
        <v>-144.22999999999999</v>
      </c>
      <c r="K143" s="43">
        <f t="shared" si="4"/>
        <v>-144.22999999999999</v>
      </c>
      <c r="L143" s="43">
        <f t="shared" si="5"/>
        <v>19072.459999999992</v>
      </c>
      <c r="M143" s="18" t="s">
        <v>90</v>
      </c>
      <c r="R143">
        <v>500790</v>
      </c>
      <c r="S143"/>
      <c r="T143"/>
      <c r="U143" s="4">
        <v>-50</v>
      </c>
      <c r="V143" s="57"/>
      <c r="W143"/>
    </row>
    <row r="144" spans="1:24" x14ac:dyDescent="0.3">
      <c r="A144" s="12"/>
      <c r="B144" s="105" t="s">
        <v>484</v>
      </c>
      <c r="C144" s="4" t="s">
        <v>299</v>
      </c>
      <c r="D144" s="133" t="s">
        <v>301</v>
      </c>
      <c r="E144" s="213"/>
      <c r="F144" s="213"/>
      <c r="G144" s="214"/>
      <c r="H144" s="215"/>
      <c r="I144" s="215"/>
      <c r="J144" s="232">
        <v>-37.68</v>
      </c>
      <c r="K144" s="43">
        <f t="shared" si="4"/>
        <v>-37.68</v>
      </c>
      <c r="L144" s="43">
        <f t="shared" si="5"/>
        <v>19034.779999999992</v>
      </c>
      <c r="M144" s="18" t="s">
        <v>90</v>
      </c>
      <c r="R144">
        <v>500795</v>
      </c>
      <c r="S144"/>
      <c r="T144"/>
      <c r="U144" s="4">
        <v>-50</v>
      </c>
    </row>
    <row r="145" spans="1:26" x14ac:dyDescent="0.3">
      <c r="A145" s="12"/>
      <c r="B145" s="105" t="s">
        <v>484</v>
      </c>
      <c r="C145" s="4" t="s">
        <v>607</v>
      </c>
      <c r="D145" s="133" t="s">
        <v>11</v>
      </c>
      <c r="E145" s="213"/>
      <c r="F145" s="213"/>
      <c r="G145" s="214"/>
      <c r="H145" s="215"/>
      <c r="I145" s="215"/>
      <c r="J145" s="232">
        <v>-200</v>
      </c>
      <c r="K145" s="43">
        <f t="shared" si="4"/>
        <v>-200</v>
      </c>
      <c r="L145" s="43">
        <f t="shared" si="5"/>
        <v>18834.779999999992</v>
      </c>
      <c r="M145" s="18" t="s">
        <v>90</v>
      </c>
      <c r="R145">
        <v>500799</v>
      </c>
      <c r="S145"/>
      <c r="T145"/>
      <c r="U145" s="4">
        <v>-50</v>
      </c>
    </row>
    <row r="146" spans="1:26" x14ac:dyDescent="0.3">
      <c r="A146" s="12"/>
      <c r="B146" s="105" t="s">
        <v>484</v>
      </c>
      <c r="C146" s="214" t="s">
        <v>1109</v>
      </c>
      <c r="D146" s="133" t="s">
        <v>12</v>
      </c>
      <c r="E146" s="213"/>
      <c r="F146" s="215"/>
      <c r="G146" s="214"/>
      <c r="H146" s="215"/>
      <c r="I146" s="215"/>
      <c r="J146" s="232">
        <v>-29.4</v>
      </c>
      <c r="K146" s="43">
        <f t="shared" si="4"/>
        <v>-29.4</v>
      </c>
      <c r="L146" s="43">
        <f t="shared" si="5"/>
        <v>18805.37999999999</v>
      </c>
      <c r="M146" s="18" t="s">
        <v>90</v>
      </c>
      <c r="R146">
        <v>500806</v>
      </c>
      <c r="S146"/>
      <c r="T146"/>
      <c r="U146" s="125">
        <v>-50</v>
      </c>
    </row>
    <row r="147" spans="1:26" x14ac:dyDescent="0.3">
      <c r="A147" s="12"/>
      <c r="B147" s="105" t="s">
        <v>484</v>
      </c>
      <c r="C147" s="4" t="s">
        <v>48</v>
      </c>
      <c r="D147" s="133" t="s">
        <v>12</v>
      </c>
      <c r="E147" s="213"/>
      <c r="F147" s="215"/>
      <c r="G147" s="214"/>
      <c r="H147" s="215"/>
      <c r="I147" s="215"/>
      <c r="J147" s="232">
        <v>-71.599999999999994</v>
      </c>
      <c r="K147" s="43">
        <f t="shared" si="4"/>
        <v>-71.599999999999994</v>
      </c>
      <c r="L147" s="43">
        <f t="shared" si="5"/>
        <v>18733.779999999992</v>
      </c>
      <c r="M147" s="18" t="s">
        <v>90</v>
      </c>
      <c r="N147" s="18"/>
      <c r="R147" s="252" t="s">
        <v>1100</v>
      </c>
      <c r="U147" s="43">
        <v>-251.1</v>
      </c>
      <c r="V147" t="s">
        <v>1370</v>
      </c>
    </row>
    <row r="148" spans="1:26" x14ac:dyDescent="0.3">
      <c r="A148" s="12"/>
      <c r="B148" s="105" t="s">
        <v>484</v>
      </c>
      <c r="C148" s="280" t="s">
        <v>1271</v>
      </c>
      <c r="D148" s="133" t="s">
        <v>12</v>
      </c>
      <c r="E148" s="210" t="s">
        <v>1361</v>
      </c>
      <c r="F148" s="27"/>
      <c r="G148" s="210"/>
      <c r="H148" s="42"/>
      <c r="I148" s="42"/>
      <c r="J148" s="42">
        <v>-251.1</v>
      </c>
      <c r="K148" s="43">
        <f t="shared" si="4"/>
        <v>-251.1</v>
      </c>
      <c r="L148" s="43">
        <f t="shared" si="5"/>
        <v>18482.679999999993</v>
      </c>
      <c r="M148" s="16" t="s">
        <v>1370</v>
      </c>
      <c r="R148" s="15">
        <v>500813</v>
      </c>
      <c r="U148" s="4">
        <v>-81</v>
      </c>
      <c r="V148" s="57"/>
    </row>
    <row r="149" spans="1:26" x14ac:dyDescent="0.3">
      <c r="A149" s="12"/>
      <c r="B149" s="105" t="s">
        <v>484</v>
      </c>
      <c r="C149" s="4" t="s">
        <v>234</v>
      </c>
      <c r="D149" s="133" t="s">
        <v>12</v>
      </c>
      <c r="E149" s="120" t="s">
        <v>1362</v>
      </c>
      <c r="F149" s="27"/>
      <c r="G149" s="120" t="s">
        <v>1072</v>
      </c>
      <c r="H149" s="42"/>
      <c r="I149" s="42"/>
      <c r="J149" s="42">
        <v>-47.4</v>
      </c>
      <c r="K149" s="43">
        <f t="shared" si="4"/>
        <v>-47.4</v>
      </c>
      <c r="L149" s="43">
        <f t="shared" si="5"/>
        <v>18435.279999999992</v>
      </c>
      <c r="M149" s="18" t="s">
        <v>90</v>
      </c>
      <c r="R149" t="s">
        <v>1363</v>
      </c>
      <c r="S149"/>
      <c r="U149" s="43">
        <v>60</v>
      </c>
      <c r="W149"/>
    </row>
    <row r="150" spans="1:26" x14ac:dyDescent="0.3">
      <c r="A150" s="12"/>
      <c r="B150" s="105" t="s">
        <v>484</v>
      </c>
      <c r="C150" s="4" t="s">
        <v>1363</v>
      </c>
      <c r="D150" s="133" t="s">
        <v>512</v>
      </c>
      <c r="E150" s="210"/>
      <c r="F150" s="179"/>
      <c r="G150" s="193"/>
      <c r="H150" s="42">
        <v>60</v>
      </c>
      <c r="I150" s="42"/>
      <c r="J150" s="42"/>
      <c r="K150" s="43">
        <f t="shared" si="4"/>
        <v>60</v>
      </c>
      <c r="L150" s="43">
        <f t="shared" si="5"/>
        <v>18495.279999999992</v>
      </c>
      <c r="W150"/>
    </row>
    <row r="151" spans="1:26" x14ac:dyDescent="0.3">
      <c r="A151" s="12"/>
      <c r="B151" s="105" t="s">
        <v>484</v>
      </c>
      <c r="C151" s="4" t="s">
        <v>1364</v>
      </c>
      <c r="D151" s="132" t="s">
        <v>513</v>
      </c>
      <c r="E151" s="33"/>
      <c r="F151" s="27"/>
      <c r="G151" s="33">
        <v>500813</v>
      </c>
      <c r="H151" s="42"/>
      <c r="I151" s="42"/>
      <c r="J151" s="51">
        <v>-81</v>
      </c>
      <c r="K151" s="43">
        <f t="shared" si="4"/>
        <v>-81</v>
      </c>
      <c r="L151" s="43">
        <f t="shared" si="5"/>
        <v>18414.279999999992</v>
      </c>
      <c r="M151" s="18" t="s">
        <v>1419</v>
      </c>
    </row>
    <row r="152" spans="1:26" x14ac:dyDescent="0.3">
      <c r="A152" s="12"/>
      <c r="B152" s="105" t="s">
        <v>484</v>
      </c>
      <c r="C152" s="4" t="s">
        <v>1365</v>
      </c>
      <c r="D152" s="133" t="s">
        <v>512</v>
      </c>
      <c r="E152" s="33"/>
      <c r="F152" s="27"/>
      <c r="G152" s="33"/>
      <c r="H152" s="42">
        <v>170</v>
      </c>
      <c r="I152" s="42"/>
      <c r="J152" s="42"/>
      <c r="K152" s="43">
        <f t="shared" si="4"/>
        <v>170</v>
      </c>
      <c r="L152" s="43">
        <f t="shared" si="5"/>
        <v>18584.279999999992</v>
      </c>
      <c r="M152" s="18" t="s">
        <v>412</v>
      </c>
      <c r="N152" s="23" t="s">
        <v>1383</v>
      </c>
      <c r="V152" s="57">
        <f>SUM(U142:U151)</f>
        <v>-522.1</v>
      </c>
    </row>
    <row r="153" spans="1:26" x14ac:dyDescent="0.3">
      <c r="A153" s="12"/>
      <c r="B153" s="105" t="s">
        <v>484</v>
      </c>
      <c r="C153" s="4" t="s">
        <v>1365</v>
      </c>
      <c r="D153" s="112" t="s">
        <v>500</v>
      </c>
      <c r="E153" s="121" t="s">
        <v>274</v>
      </c>
      <c r="F153" s="27"/>
      <c r="G153" s="207" t="s">
        <v>324</v>
      </c>
      <c r="H153" s="49">
        <v>50</v>
      </c>
      <c r="I153" s="42"/>
      <c r="J153" s="42"/>
      <c r="K153" s="43">
        <f t="shared" si="4"/>
        <v>50</v>
      </c>
      <c r="L153" s="43">
        <f t="shared" si="5"/>
        <v>18634.279999999992</v>
      </c>
      <c r="M153" s="18" t="s">
        <v>412</v>
      </c>
      <c r="N153" s="23" t="s">
        <v>1375</v>
      </c>
    </row>
    <row r="154" spans="1:26" x14ac:dyDescent="0.3">
      <c r="A154" s="12"/>
      <c r="B154" s="105" t="s">
        <v>484</v>
      </c>
      <c r="C154" s="4" t="s">
        <v>1189</v>
      </c>
      <c r="D154" s="133" t="s">
        <v>512</v>
      </c>
      <c r="E154" s="120" t="s">
        <v>1099</v>
      </c>
      <c r="F154" s="27"/>
      <c r="G154" s="120" t="s">
        <v>1072</v>
      </c>
      <c r="H154" s="42"/>
      <c r="I154" s="42"/>
      <c r="J154" s="42">
        <v>-400</v>
      </c>
      <c r="K154" s="43">
        <f t="shared" si="4"/>
        <v>-400</v>
      </c>
      <c r="L154" s="43">
        <f t="shared" si="5"/>
        <v>18234.279999999992</v>
      </c>
      <c r="M154" s="18" t="s">
        <v>90</v>
      </c>
    </row>
    <row r="155" spans="1:26" x14ac:dyDescent="0.3">
      <c r="A155" s="12"/>
      <c r="B155" s="105" t="s">
        <v>484</v>
      </c>
      <c r="C155" s="4" t="s">
        <v>782</v>
      </c>
      <c r="D155" s="133" t="s">
        <v>518</v>
      </c>
      <c r="E155" s="120" t="s">
        <v>1368</v>
      </c>
      <c r="F155" s="27"/>
      <c r="G155" s="120" t="s">
        <v>1072</v>
      </c>
      <c r="H155" s="42"/>
      <c r="I155" s="42"/>
      <c r="J155" s="42">
        <v>-90</v>
      </c>
      <c r="K155" s="43">
        <f t="shared" si="4"/>
        <v>-90</v>
      </c>
      <c r="L155" s="43">
        <f t="shared" si="5"/>
        <v>18144.279999999992</v>
      </c>
      <c r="M155" s="18" t="s">
        <v>90</v>
      </c>
      <c r="Z155" s="57">
        <f>+V156-L156</f>
        <v>0</v>
      </c>
    </row>
    <row r="156" spans="1:26" x14ac:dyDescent="0.3">
      <c r="A156" s="12"/>
      <c r="B156" s="105" t="s">
        <v>484</v>
      </c>
      <c r="C156" s="4" t="s">
        <v>232</v>
      </c>
      <c r="D156" s="132" t="s">
        <v>13</v>
      </c>
      <c r="E156" s="120"/>
      <c r="F156" s="27"/>
      <c r="G156" s="120" t="s">
        <v>233</v>
      </c>
      <c r="H156" s="42"/>
      <c r="I156" s="42"/>
      <c r="J156" s="42">
        <v>-50</v>
      </c>
      <c r="K156" s="43">
        <f t="shared" si="4"/>
        <v>-50</v>
      </c>
      <c r="L156" s="75">
        <f t="shared" si="5"/>
        <v>18094.279999999992</v>
      </c>
      <c r="M156" s="18" t="s">
        <v>90</v>
      </c>
      <c r="R156" t="s">
        <v>652</v>
      </c>
      <c r="V156" s="23">
        <f>SUM(V138:V152)</f>
        <v>18094.280000000002</v>
      </c>
      <c r="X156" t="s">
        <v>588</v>
      </c>
    </row>
    <row r="157" spans="1:26" x14ac:dyDescent="0.3">
      <c r="A157" s="12"/>
      <c r="B157" s="105"/>
      <c r="C157" s="4" t="s">
        <v>1378</v>
      </c>
      <c r="D157" s="132"/>
      <c r="E157" s="120"/>
      <c r="F157" s="52"/>
      <c r="G157" s="168" t="s">
        <v>1440</v>
      </c>
      <c r="H157" s="42"/>
      <c r="I157" s="42"/>
      <c r="J157" s="42"/>
      <c r="K157" s="43">
        <f t="shared" si="4"/>
        <v>0</v>
      </c>
      <c r="L157" s="43">
        <f t="shared" si="5"/>
        <v>18094.279999999992</v>
      </c>
    </row>
    <row r="158" spans="1:26" x14ac:dyDescent="0.3">
      <c r="A158" s="28" t="s">
        <v>80</v>
      </c>
      <c r="B158" s="105" t="s">
        <v>485</v>
      </c>
      <c r="C158" s="4" t="s">
        <v>58</v>
      </c>
      <c r="D158" s="132" t="s">
        <v>9</v>
      </c>
      <c r="E158" s="168" t="s">
        <v>746</v>
      </c>
      <c r="F158" s="27"/>
      <c r="G158" s="33"/>
      <c r="H158" s="42"/>
      <c r="I158" s="171"/>
      <c r="J158" s="42">
        <v>-145.12</v>
      </c>
      <c r="K158" s="43">
        <f t="shared" si="4"/>
        <v>-145.12</v>
      </c>
      <c r="L158" s="43">
        <f t="shared" si="5"/>
        <v>17949.159999999993</v>
      </c>
      <c r="M158" s="18" t="s">
        <v>90</v>
      </c>
      <c r="R158" s="30" t="s">
        <v>1130</v>
      </c>
      <c r="X158"/>
    </row>
    <row r="159" spans="1:26" x14ac:dyDescent="0.3">
      <c r="A159" s="12"/>
      <c r="B159" s="105" t="s">
        <v>485</v>
      </c>
      <c r="C159" s="4" t="s">
        <v>299</v>
      </c>
      <c r="D159" s="133" t="s">
        <v>301</v>
      </c>
      <c r="E159" s="213"/>
      <c r="F159" s="213"/>
      <c r="G159" s="214"/>
      <c r="H159" s="215"/>
      <c r="I159" s="215"/>
      <c r="J159" s="232">
        <v>-39</v>
      </c>
      <c r="K159" s="43">
        <f t="shared" si="4"/>
        <v>-39</v>
      </c>
      <c r="L159" s="43">
        <f t="shared" si="5"/>
        <v>17910.159999999993</v>
      </c>
      <c r="M159" s="18" t="s">
        <v>90</v>
      </c>
    </row>
    <row r="160" spans="1:26" x14ac:dyDescent="0.3">
      <c r="A160" s="12"/>
      <c r="B160" s="105" t="s">
        <v>485</v>
      </c>
      <c r="C160" s="4" t="s">
        <v>607</v>
      </c>
      <c r="D160" s="133" t="s">
        <v>11</v>
      </c>
      <c r="E160" s="213"/>
      <c r="F160" s="213"/>
      <c r="G160" s="214"/>
      <c r="H160" s="215"/>
      <c r="I160" s="215"/>
      <c r="J160" s="232">
        <v>-200</v>
      </c>
      <c r="K160" s="43">
        <f t="shared" si="4"/>
        <v>-200</v>
      </c>
      <c r="L160" s="43">
        <f t="shared" si="5"/>
        <v>17710.159999999993</v>
      </c>
      <c r="M160" s="18" t="s">
        <v>90</v>
      </c>
      <c r="R160" t="s">
        <v>584</v>
      </c>
      <c r="V160" s="15">
        <f>16395.46</f>
        <v>16395.46</v>
      </c>
    </row>
    <row r="161" spans="1:24" x14ac:dyDescent="0.3">
      <c r="A161" s="12"/>
      <c r="B161" s="105" t="s">
        <v>485</v>
      </c>
      <c r="C161" s="214" t="s">
        <v>1109</v>
      </c>
      <c r="D161" s="133" t="s">
        <v>12</v>
      </c>
      <c r="E161" s="213"/>
      <c r="F161" s="215"/>
      <c r="G161" s="214"/>
      <c r="H161" s="215"/>
      <c r="I161" s="215"/>
      <c r="J161" s="232">
        <v>-44.1</v>
      </c>
      <c r="K161" s="43">
        <f t="shared" si="4"/>
        <v>-44.1</v>
      </c>
      <c r="L161" s="43">
        <f t="shared" si="5"/>
        <v>17666.059999999994</v>
      </c>
      <c r="M161" s="18" t="s">
        <v>90</v>
      </c>
      <c r="N161"/>
    </row>
    <row r="162" spans="1:24" x14ac:dyDescent="0.3">
      <c r="A162" s="12"/>
      <c r="B162" s="105" t="s">
        <v>485</v>
      </c>
      <c r="C162" s="4" t="s">
        <v>48</v>
      </c>
      <c r="D162" s="133" t="s">
        <v>12</v>
      </c>
      <c r="E162" s="213"/>
      <c r="F162" s="215"/>
      <c r="G162" s="214"/>
      <c r="H162" s="215"/>
      <c r="I162" s="215"/>
      <c r="J162" s="232">
        <v>-89.67</v>
      </c>
      <c r="K162" s="43">
        <f t="shared" si="4"/>
        <v>-89.67</v>
      </c>
      <c r="L162" s="43">
        <f t="shared" si="5"/>
        <v>17576.389999999996</v>
      </c>
      <c r="M162" s="16" t="s">
        <v>90</v>
      </c>
      <c r="N162"/>
      <c r="R162" t="s">
        <v>586</v>
      </c>
      <c r="U162" s="43"/>
    </row>
    <row r="163" spans="1:24" x14ac:dyDescent="0.3">
      <c r="B163" s="105" t="s">
        <v>485</v>
      </c>
      <c r="C163" s="280" t="s">
        <v>1271</v>
      </c>
      <c r="D163" s="133" t="s">
        <v>12</v>
      </c>
      <c r="E163" s="210" t="s">
        <v>1369</v>
      </c>
      <c r="F163" s="27"/>
      <c r="G163" s="210"/>
      <c r="H163" s="42"/>
      <c r="I163" s="42"/>
      <c r="J163" s="42">
        <v>0</v>
      </c>
      <c r="K163" s="43">
        <f t="shared" si="4"/>
        <v>0</v>
      </c>
      <c r="L163" s="43">
        <f t="shared" si="5"/>
        <v>17576.389999999996</v>
      </c>
      <c r="M163" s="16" t="s">
        <v>90</v>
      </c>
      <c r="N163" t="s">
        <v>1376</v>
      </c>
      <c r="R163">
        <v>500763</v>
      </c>
      <c r="S163"/>
      <c r="T163"/>
      <c r="U163" s="4">
        <v>-50</v>
      </c>
      <c r="V163" s="57"/>
    </row>
    <row r="164" spans="1:24" x14ac:dyDescent="0.3">
      <c r="A164" s="12"/>
      <c r="B164" s="105" t="s">
        <v>485</v>
      </c>
      <c r="C164" s="4" t="s">
        <v>234</v>
      </c>
      <c r="D164" s="133" t="s">
        <v>12</v>
      </c>
      <c r="E164" s="120" t="s">
        <v>215</v>
      </c>
      <c r="F164" s="27"/>
      <c r="G164" s="33"/>
      <c r="H164" s="42"/>
      <c r="I164" s="42"/>
      <c r="J164" s="221">
        <v>-46.6</v>
      </c>
      <c r="K164" s="43">
        <f t="shared" si="4"/>
        <v>-46.6</v>
      </c>
      <c r="L164" s="43">
        <f t="shared" si="5"/>
        <v>17529.789999999997</v>
      </c>
      <c r="M164" s="16" t="s">
        <v>90</v>
      </c>
      <c r="R164">
        <v>500790</v>
      </c>
      <c r="S164"/>
      <c r="T164"/>
      <c r="U164" s="4">
        <v>-50</v>
      </c>
      <c r="V164" s="57"/>
    </row>
    <row r="165" spans="1:24" x14ac:dyDescent="0.3">
      <c r="A165" s="12"/>
      <c r="B165" s="105" t="s">
        <v>485</v>
      </c>
      <c r="C165" s="4" t="s">
        <v>1371</v>
      </c>
      <c r="D165" s="133" t="s">
        <v>518</v>
      </c>
      <c r="E165" s="120" t="s">
        <v>1372</v>
      </c>
      <c r="F165" s="27"/>
      <c r="G165" s="33"/>
      <c r="H165" s="42"/>
      <c r="I165" s="42"/>
      <c r="J165" s="221">
        <v>-262.42</v>
      </c>
      <c r="K165" s="43">
        <f t="shared" si="4"/>
        <v>-262.42</v>
      </c>
      <c r="L165" s="43">
        <f t="shared" si="5"/>
        <v>17267.37</v>
      </c>
      <c r="M165" s="16" t="s">
        <v>90</v>
      </c>
      <c r="R165">
        <v>500795</v>
      </c>
      <c r="S165"/>
      <c r="T165"/>
      <c r="U165" s="4">
        <v>-50</v>
      </c>
    </row>
    <row r="166" spans="1:24" x14ac:dyDescent="0.3">
      <c r="A166" s="12"/>
      <c r="B166" s="105" t="s">
        <v>485</v>
      </c>
      <c r="C166" s="4" t="s">
        <v>58</v>
      </c>
      <c r="D166" s="112" t="s">
        <v>8</v>
      </c>
      <c r="E166" s="33"/>
      <c r="F166" s="27"/>
      <c r="G166" s="33"/>
      <c r="H166" s="42"/>
      <c r="I166" s="42"/>
      <c r="J166" s="221">
        <v>-802.91</v>
      </c>
      <c r="K166" s="43">
        <f t="shared" si="4"/>
        <v>-802.91</v>
      </c>
      <c r="L166" s="43">
        <f t="shared" si="5"/>
        <v>16464.46</v>
      </c>
      <c r="M166" s="16" t="s">
        <v>90</v>
      </c>
      <c r="R166">
        <v>500799</v>
      </c>
      <c r="S166"/>
      <c r="T166"/>
      <c r="U166" s="4">
        <v>-50</v>
      </c>
    </row>
    <row r="167" spans="1:24" x14ac:dyDescent="0.3">
      <c r="A167" s="12"/>
      <c r="B167" s="105" t="s">
        <v>485</v>
      </c>
      <c r="C167" s="4" t="s">
        <v>1341</v>
      </c>
      <c r="D167" s="112" t="s">
        <v>504</v>
      </c>
      <c r="E167" s="121" t="s">
        <v>1137</v>
      </c>
      <c r="F167" s="27"/>
      <c r="G167" s="120" t="s">
        <v>930</v>
      </c>
      <c r="H167" s="42"/>
      <c r="I167" s="42"/>
      <c r="J167" s="223">
        <v>-50</v>
      </c>
      <c r="K167" s="43">
        <f t="shared" si="4"/>
        <v>-50</v>
      </c>
      <c r="L167" s="43">
        <f t="shared" si="5"/>
        <v>16414.46</v>
      </c>
      <c r="M167" s="16" t="s">
        <v>90</v>
      </c>
      <c r="R167">
        <v>500806</v>
      </c>
      <c r="S167"/>
      <c r="T167"/>
      <c r="U167" s="125">
        <v>-50</v>
      </c>
    </row>
    <row r="168" spans="1:24" x14ac:dyDescent="0.3">
      <c r="A168" s="12"/>
      <c r="B168" s="105" t="s">
        <v>485</v>
      </c>
      <c r="C168" s="4" t="s">
        <v>1216</v>
      </c>
      <c r="D168" s="112" t="s">
        <v>504</v>
      </c>
      <c r="E168" s="121" t="s">
        <v>1373</v>
      </c>
      <c r="F168" s="27"/>
      <c r="G168" s="120" t="s">
        <v>930</v>
      </c>
      <c r="H168" s="42"/>
      <c r="I168" s="42"/>
      <c r="J168" s="223">
        <v>-50</v>
      </c>
      <c r="K168" s="43">
        <f t="shared" si="4"/>
        <v>-50</v>
      </c>
      <c r="L168" s="43">
        <f t="shared" si="5"/>
        <v>16364.46</v>
      </c>
      <c r="M168" s="18" t="s">
        <v>412</v>
      </c>
      <c r="R168" s="15">
        <v>500813</v>
      </c>
      <c r="U168" s="4">
        <v>-81</v>
      </c>
      <c r="V168"/>
    </row>
    <row r="169" spans="1:24" x14ac:dyDescent="0.3">
      <c r="A169" s="12"/>
      <c r="B169" s="105" t="s">
        <v>485</v>
      </c>
      <c r="C169" s="4" t="s">
        <v>1216</v>
      </c>
      <c r="D169" s="133" t="s">
        <v>512</v>
      </c>
      <c r="E169" s="128" t="s">
        <v>1377</v>
      </c>
      <c r="F169" s="27"/>
      <c r="G169" s="33"/>
      <c r="H169" s="42"/>
      <c r="I169" s="42"/>
      <c r="J169" s="221">
        <v>-80</v>
      </c>
      <c r="K169" s="43">
        <f t="shared" si="4"/>
        <v>-80</v>
      </c>
      <c r="L169" s="43">
        <f t="shared" ref="L169:L197" si="6">L168+K169</f>
        <v>16284.46</v>
      </c>
      <c r="M169" s="18" t="s">
        <v>412</v>
      </c>
      <c r="N169" s="25"/>
      <c r="O169" s="134"/>
      <c r="R169" t="s">
        <v>1363</v>
      </c>
      <c r="S169"/>
      <c r="U169" s="43">
        <v>60</v>
      </c>
      <c r="V169" s="57"/>
    </row>
    <row r="170" spans="1:24" x14ac:dyDescent="0.3">
      <c r="A170" s="26"/>
      <c r="B170" s="105" t="s">
        <v>485</v>
      </c>
      <c r="C170" s="4" t="s">
        <v>1379</v>
      </c>
      <c r="D170" s="133" t="s">
        <v>512</v>
      </c>
      <c r="E170" s="264" t="s">
        <v>1391</v>
      </c>
      <c r="F170" s="240"/>
      <c r="G170" s="240">
        <v>500805</v>
      </c>
      <c r="H170" s="265"/>
      <c r="I170" s="240"/>
      <c r="J170" s="266">
        <v>-50</v>
      </c>
      <c r="K170" s="43">
        <f t="shared" si="4"/>
        <v>-50</v>
      </c>
      <c r="L170" s="43">
        <f t="shared" si="6"/>
        <v>16234.46</v>
      </c>
      <c r="M170" s="18" t="s">
        <v>572</v>
      </c>
      <c r="N170" t="s">
        <v>1380</v>
      </c>
      <c r="O170" s="134"/>
      <c r="R170" s="252" t="s">
        <v>1392</v>
      </c>
      <c r="U170" s="43">
        <v>-110</v>
      </c>
      <c r="V170" t="s">
        <v>1397</v>
      </c>
    </row>
    <row r="171" spans="1:24" x14ac:dyDescent="0.3">
      <c r="A171" s="12"/>
      <c r="B171" s="105" t="s">
        <v>485</v>
      </c>
      <c r="C171" s="4" t="s">
        <v>1379</v>
      </c>
      <c r="D171" s="133" t="s">
        <v>512</v>
      </c>
      <c r="E171" s="120" t="s">
        <v>1381</v>
      </c>
      <c r="F171" s="240"/>
      <c r="G171" s="210"/>
      <c r="H171" s="267">
        <v>50</v>
      </c>
      <c r="I171" s="240"/>
      <c r="J171" s="240"/>
      <c r="K171" s="43">
        <f t="shared" si="4"/>
        <v>50</v>
      </c>
      <c r="L171" s="43">
        <f t="shared" si="6"/>
        <v>16284.46</v>
      </c>
      <c r="M171" s="16" t="s">
        <v>572</v>
      </c>
      <c r="N171" s="282" t="s">
        <v>1384</v>
      </c>
      <c r="O171" s="134"/>
    </row>
    <row r="172" spans="1:24" x14ac:dyDescent="0.3">
      <c r="A172" s="12"/>
      <c r="B172" s="105" t="s">
        <v>485</v>
      </c>
      <c r="C172" s="213" t="s">
        <v>1388</v>
      </c>
      <c r="D172" s="112" t="s">
        <v>504</v>
      </c>
      <c r="E172" s="121" t="s">
        <v>1385</v>
      </c>
      <c r="F172" s="27"/>
      <c r="G172" s="120" t="s">
        <v>930</v>
      </c>
      <c r="H172" s="267"/>
      <c r="I172" s="240"/>
      <c r="J172" s="239">
        <v>-50</v>
      </c>
      <c r="K172" s="43">
        <f t="shared" si="4"/>
        <v>-50</v>
      </c>
      <c r="L172" s="43">
        <f t="shared" si="6"/>
        <v>16234.46</v>
      </c>
      <c r="M172" s="16" t="s">
        <v>90</v>
      </c>
      <c r="N172" s="136"/>
      <c r="O172" s="134"/>
      <c r="U172" s="43"/>
    </row>
    <row r="173" spans="1:24" x14ac:dyDescent="0.3">
      <c r="B173" s="105" t="s">
        <v>485</v>
      </c>
      <c r="C173" s="213" t="s">
        <v>1339</v>
      </c>
      <c r="D173" s="112" t="s">
        <v>504</v>
      </c>
      <c r="E173" s="121" t="s">
        <v>1042</v>
      </c>
      <c r="F173" s="27"/>
      <c r="G173" s="120" t="s">
        <v>930</v>
      </c>
      <c r="H173" s="42"/>
      <c r="I173" s="42"/>
      <c r="J173" s="223">
        <v>-50</v>
      </c>
      <c r="K173" s="43">
        <f t="shared" si="4"/>
        <v>-50</v>
      </c>
      <c r="L173" s="43">
        <f t="shared" si="6"/>
        <v>16184.46</v>
      </c>
      <c r="M173" s="18" t="s">
        <v>90</v>
      </c>
      <c r="U173" s="43"/>
      <c r="V173" s="57"/>
    </row>
    <row r="174" spans="1:24" x14ac:dyDescent="0.3">
      <c r="B174" s="105" t="s">
        <v>485</v>
      </c>
      <c r="C174" s="213" t="s">
        <v>638</v>
      </c>
      <c r="D174" s="112" t="s">
        <v>504</v>
      </c>
      <c r="E174" s="121" t="s">
        <v>1021</v>
      </c>
      <c r="F174" s="240"/>
      <c r="G174" s="240">
        <v>500816</v>
      </c>
      <c r="H174" s="267"/>
      <c r="I174" s="240"/>
      <c r="J174" s="239">
        <v>-50</v>
      </c>
      <c r="K174" s="43">
        <f t="shared" si="4"/>
        <v>-50</v>
      </c>
      <c r="L174" s="43">
        <f t="shared" si="6"/>
        <v>16134.46</v>
      </c>
      <c r="M174" s="18" t="s">
        <v>1398</v>
      </c>
      <c r="U174" s="43"/>
      <c r="V174" s="11">
        <f>SUM(U163:U174)</f>
        <v>-381</v>
      </c>
    </row>
    <row r="175" spans="1:24" x14ac:dyDescent="0.3">
      <c r="B175" s="105" t="s">
        <v>485</v>
      </c>
      <c r="C175" s="213" t="s">
        <v>638</v>
      </c>
      <c r="D175" s="133" t="s">
        <v>512</v>
      </c>
      <c r="E175" s="120" t="s">
        <v>1389</v>
      </c>
      <c r="F175" s="27"/>
      <c r="G175" s="210"/>
      <c r="H175" s="220"/>
      <c r="I175" s="42"/>
      <c r="J175" s="42">
        <v>-60</v>
      </c>
      <c r="K175" s="43">
        <f t="shared" si="4"/>
        <v>-60</v>
      </c>
      <c r="L175" s="43">
        <f t="shared" si="6"/>
        <v>16074.46</v>
      </c>
      <c r="M175" s="18" t="s">
        <v>1398</v>
      </c>
      <c r="N175" t="s">
        <v>1390</v>
      </c>
      <c r="W175"/>
      <c r="X175"/>
    </row>
    <row r="176" spans="1:24" x14ac:dyDescent="0.3">
      <c r="B176" s="105" t="s">
        <v>485</v>
      </c>
      <c r="C176" s="213" t="s">
        <v>830</v>
      </c>
      <c r="D176" s="133" t="s">
        <v>512</v>
      </c>
      <c r="E176" s="120" t="s">
        <v>1389</v>
      </c>
      <c r="F176" s="27"/>
      <c r="G176" s="120" t="s">
        <v>1072</v>
      </c>
      <c r="H176" s="217"/>
      <c r="I176" s="42"/>
      <c r="J176" s="42">
        <v>-60</v>
      </c>
      <c r="K176" s="43">
        <f t="shared" si="4"/>
        <v>-60</v>
      </c>
      <c r="L176" s="75">
        <f t="shared" si="6"/>
        <v>16014.46</v>
      </c>
      <c r="M176" s="18" t="s">
        <v>90</v>
      </c>
      <c r="R176" t="s">
        <v>1215</v>
      </c>
      <c r="V176" s="74">
        <f>V160+V174</f>
        <v>16014.46</v>
      </c>
      <c r="W176" t="s">
        <v>588</v>
      </c>
      <c r="X176"/>
    </row>
    <row r="177" spans="1:25" x14ac:dyDescent="0.3">
      <c r="B177" s="105" t="s">
        <v>485</v>
      </c>
      <c r="C177" s="4"/>
      <c r="D177" s="132"/>
      <c r="E177" s="120"/>
      <c r="F177" s="27"/>
      <c r="G177" s="120"/>
      <c r="H177" s="42"/>
      <c r="I177" s="42"/>
      <c r="J177" s="42"/>
      <c r="K177" s="43">
        <f t="shared" si="4"/>
        <v>0</v>
      </c>
      <c r="L177" s="43">
        <f t="shared" si="6"/>
        <v>16014.46</v>
      </c>
      <c r="X177"/>
    </row>
    <row r="178" spans="1:25" x14ac:dyDescent="0.3">
      <c r="A178" s="12"/>
      <c r="B178" s="105"/>
      <c r="C178" s="213"/>
      <c r="D178" s="112"/>
      <c r="E178" s="120"/>
      <c r="F178" s="27"/>
      <c r="G178" s="33"/>
      <c r="H178" s="42"/>
      <c r="I178" s="42"/>
      <c r="J178" s="42"/>
      <c r="K178" s="43">
        <f t="shared" si="4"/>
        <v>0</v>
      </c>
      <c r="L178" s="43">
        <f t="shared" si="6"/>
        <v>16014.46</v>
      </c>
      <c r="N178" s="18"/>
      <c r="X178"/>
    </row>
    <row r="179" spans="1:25" x14ac:dyDescent="0.3">
      <c r="A179" s="28" t="s">
        <v>694</v>
      </c>
      <c r="B179" s="105" t="s">
        <v>486</v>
      </c>
      <c r="C179" s="4" t="s">
        <v>58</v>
      </c>
      <c r="D179" s="132" t="s">
        <v>9</v>
      </c>
      <c r="E179" s="168" t="s">
        <v>745</v>
      </c>
      <c r="F179" s="27"/>
      <c r="G179" s="33"/>
      <c r="H179" s="42"/>
      <c r="I179" s="171"/>
      <c r="J179" s="42">
        <v>-118.28</v>
      </c>
      <c r="K179" s="43">
        <f t="shared" ref="K179:K184" si="7">H179+J179</f>
        <v>-118.28</v>
      </c>
      <c r="L179" s="43">
        <f t="shared" si="6"/>
        <v>15896.179999999998</v>
      </c>
      <c r="M179" s="16" t="s">
        <v>90</v>
      </c>
      <c r="Q179" s="30" t="s">
        <v>1400</v>
      </c>
      <c r="R179" s="30"/>
      <c r="S179" s="30"/>
      <c r="T179"/>
      <c r="U179"/>
      <c r="V179"/>
      <c r="W179"/>
    </row>
    <row r="180" spans="1:25" x14ac:dyDescent="0.3">
      <c r="A180" s="28"/>
      <c r="B180" s="105" t="s">
        <v>486</v>
      </c>
      <c r="C180" s="4" t="s">
        <v>299</v>
      </c>
      <c r="D180" s="133" t="s">
        <v>301</v>
      </c>
      <c r="E180" s="213"/>
      <c r="F180" s="213"/>
      <c r="G180" s="214"/>
      <c r="H180" s="215"/>
      <c r="I180" s="215"/>
      <c r="J180" s="232">
        <v>-39</v>
      </c>
      <c r="K180" s="43">
        <f t="shared" si="7"/>
        <v>-39</v>
      </c>
      <c r="L180" s="43">
        <f t="shared" si="6"/>
        <v>15857.179999999998</v>
      </c>
      <c r="M180" s="16" t="s">
        <v>90</v>
      </c>
      <c r="Q180"/>
      <c r="R180"/>
      <c r="S180"/>
      <c r="T180"/>
      <c r="U180"/>
      <c r="V180"/>
      <c r="W180"/>
    </row>
    <row r="181" spans="1:25" x14ac:dyDescent="0.3">
      <c r="A181" s="12"/>
      <c r="B181" s="105" t="s">
        <v>486</v>
      </c>
      <c r="C181" s="4" t="s">
        <v>607</v>
      </c>
      <c r="D181" s="133" t="s">
        <v>11</v>
      </c>
      <c r="E181" s="213"/>
      <c r="F181" s="213"/>
      <c r="G181" s="214"/>
      <c r="H181" s="215"/>
      <c r="I181" s="215"/>
      <c r="J181" s="232">
        <v>-200</v>
      </c>
      <c r="K181" s="43">
        <f t="shared" si="7"/>
        <v>-200</v>
      </c>
      <c r="L181" s="43">
        <f t="shared" si="6"/>
        <v>15657.179999999998</v>
      </c>
      <c r="M181" s="18" t="s">
        <v>90</v>
      </c>
      <c r="N181" s="25"/>
      <c r="Q181" t="s">
        <v>584</v>
      </c>
      <c r="R181"/>
      <c r="S181"/>
      <c r="T181"/>
      <c r="U181">
        <f>14821.64</f>
        <v>14821.64</v>
      </c>
      <c r="V181"/>
      <c r="X181"/>
    </row>
    <row r="182" spans="1:25" x14ac:dyDescent="0.3">
      <c r="A182" s="12"/>
      <c r="B182" s="105" t="s">
        <v>486</v>
      </c>
      <c r="C182" s="214" t="s">
        <v>1109</v>
      </c>
      <c r="D182" s="133" t="s">
        <v>12</v>
      </c>
      <c r="E182" s="213"/>
      <c r="F182" s="215"/>
      <c r="G182" s="214"/>
      <c r="H182" s="215"/>
      <c r="I182" s="215"/>
      <c r="J182" s="232">
        <v>0</v>
      </c>
      <c r="K182" s="43">
        <f t="shared" si="7"/>
        <v>0</v>
      </c>
      <c r="L182" s="43">
        <f t="shared" si="6"/>
        <v>15657.179999999998</v>
      </c>
      <c r="M182" s="18" t="s">
        <v>90</v>
      </c>
      <c r="N182" t="s">
        <v>1402</v>
      </c>
      <c r="Q182" t="s">
        <v>586</v>
      </c>
      <c r="T182" s="43"/>
      <c r="U182"/>
      <c r="V182"/>
    </row>
    <row r="183" spans="1:25" x14ac:dyDescent="0.3">
      <c r="A183" s="12"/>
      <c r="B183" s="105" t="s">
        <v>486</v>
      </c>
      <c r="C183" s="4" t="s">
        <v>48</v>
      </c>
      <c r="D183" s="133" t="s">
        <v>12</v>
      </c>
      <c r="E183" s="213"/>
      <c r="F183" s="215"/>
      <c r="G183" s="214"/>
      <c r="H183" s="215"/>
      <c r="I183" s="215"/>
      <c r="J183" s="232">
        <v>-87.54</v>
      </c>
      <c r="K183" s="43">
        <f t="shared" si="7"/>
        <v>-87.54</v>
      </c>
      <c r="L183" s="43">
        <f t="shared" si="6"/>
        <v>15569.639999999998</v>
      </c>
      <c r="M183" s="18" t="s">
        <v>90</v>
      </c>
      <c r="Q183">
        <v>500763</v>
      </c>
      <c r="R183"/>
      <c r="S183"/>
      <c r="T183" s="4">
        <v>-50</v>
      </c>
      <c r="U183"/>
      <c r="V183"/>
    </row>
    <row r="184" spans="1:25" x14ac:dyDescent="0.3">
      <c r="A184" s="29"/>
      <c r="B184" s="105" t="s">
        <v>486</v>
      </c>
      <c r="C184" s="280" t="s">
        <v>1271</v>
      </c>
      <c r="D184" s="133" t="s">
        <v>12</v>
      </c>
      <c r="E184" s="210" t="s">
        <v>1393</v>
      </c>
      <c r="F184" s="27"/>
      <c r="G184" s="210"/>
      <c r="H184" s="42"/>
      <c r="I184" s="42"/>
      <c r="J184" s="42">
        <v>0</v>
      </c>
      <c r="K184" s="43">
        <f t="shared" si="7"/>
        <v>0</v>
      </c>
      <c r="L184" s="43">
        <f t="shared" ref="L184:L189" si="8">L183+K184</f>
        <v>15569.639999999998</v>
      </c>
      <c r="M184" s="18" t="s">
        <v>90</v>
      </c>
      <c r="Q184">
        <v>500790</v>
      </c>
      <c r="R184"/>
      <c r="S184"/>
      <c r="T184" s="4">
        <v>-50</v>
      </c>
      <c r="U184" s="125"/>
      <c r="V184"/>
      <c r="X184"/>
    </row>
    <row r="185" spans="1:25" x14ac:dyDescent="0.3">
      <c r="A185" s="12"/>
      <c r="B185" s="105" t="s">
        <v>486</v>
      </c>
      <c r="C185" s="4" t="s">
        <v>1394</v>
      </c>
      <c r="D185" s="133" t="s">
        <v>13</v>
      </c>
      <c r="E185" s="120"/>
      <c r="F185" s="27"/>
      <c r="G185" s="33"/>
      <c r="H185" s="42"/>
      <c r="I185" s="42"/>
      <c r="J185" s="42">
        <v>-35</v>
      </c>
      <c r="K185" s="43">
        <f t="shared" si="4"/>
        <v>-35</v>
      </c>
      <c r="L185" s="43">
        <f t="shared" si="8"/>
        <v>15534.639999999998</v>
      </c>
      <c r="M185" s="18" t="s">
        <v>90</v>
      </c>
      <c r="Q185">
        <v>500795</v>
      </c>
      <c r="R185"/>
      <c r="S185"/>
      <c r="T185" s="4">
        <v>-50</v>
      </c>
      <c r="U185" s="125"/>
      <c r="V185"/>
    </row>
    <row r="186" spans="1:25" x14ac:dyDescent="0.3">
      <c r="A186" s="12"/>
      <c r="B186" s="105" t="s">
        <v>486</v>
      </c>
      <c r="C186" s="4" t="s">
        <v>1395</v>
      </c>
      <c r="D186" s="133" t="s">
        <v>518</v>
      </c>
      <c r="E186" s="120" t="s">
        <v>1396</v>
      </c>
      <c r="F186" s="240"/>
      <c r="G186" s="120" t="s">
        <v>464</v>
      </c>
      <c r="H186" s="240"/>
      <c r="I186" s="240"/>
      <c r="J186" s="268">
        <v>-984</v>
      </c>
      <c r="K186" s="43">
        <f t="shared" si="4"/>
        <v>-984</v>
      </c>
      <c r="L186" s="43">
        <f t="shared" si="8"/>
        <v>14550.639999999998</v>
      </c>
      <c r="M186" s="18" t="s">
        <v>90</v>
      </c>
      <c r="Q186">
        <v>500799</v>
      </c>
      <c r="R186"/>
      <c r="S186"/>
      <c r="T186" s="4">
        <v>-50</v>
      </c>
      <c r="U186" s="125"/>
      <c r="V186"/>
    </row>
    <row r="187" spans="1:25" x14ac:dyDescent="0.3">
      <c r="B187" s="105"/>
      <c r="C187" s="4"/>
      <c r="D187" s="133"/>
      <c r="E187" s="269"/>
      <c r="F187" s="240"/>
      <c r="G187" s="264"/>
      <c r="H187" s="240"/>
      <c r="I187" s="240"/>
      <c r="J187" s="268"/>
      <c r="K187" s="43">
        <f t="shared" si="4"/>
        <v>0</v>
      </c>
      <c r="L187" s="75">
        <f t="shared" si="8"/>
        <v>14550.639999999998</v>
      </c>
      <c r="Q187">
        <v>500806</v>
      </c>
      <c r="R187"/>
      <c r="S187"/>
      <c r="T187" s="125">
        <v>-50</v>
      </c>
      <c r="U187" s="125"/>
      <c r="V187" t="s">
        <v>1408</v>
      </c>
    </row>
    <row r="188" spans="1:25" x14ac:dyDescent="0.3">
      <c r="A188" s="28" t="s">
        <v>712</v>
      </c>
      <c r="C188" s="4"/>
      <c r="D188" s="133"/>
      <c r="E188" s="269"/>
      <c r="F188" s="240"/>
      <c r="G188" s="264"/>
      <c r="H188" s="240"/>
      <c r="I188" s="240"/>
      <c r="J188" s="268"/>
      <c r="K188" s="43">
        <f t="shared" si="4"/>
        <v>0</v>
      </c>
      <c r="L188" s="43">
        <f t="shared" si="8"/>
        <v>14550.639999999998</v>
      </c>
      <c r="Q188" s="15">
        <v>500813</v>
      </c>
      <c r="T188" s="4">
        <v>-81</v>
      </c>
      <c r="U188" s="125"/>
      <c r="V188"/>
      <c r="Y188" s="57"/>
    </row>
    <row r="189" spans="1:25" x14ac:dyDescent="0.3">
      <c r="A189" s="12"/>
      <c r="B189" s="106" t="s">
        <v>487</v>
      </c>
      <c r="C189" s="4" t="s">
        <v>58</v>
      </c>
      <c r="D189" s="132" t="s">
        <v>9</v>
      </c>
      <c r="E189" s="168" t="s">
        <v>486</v>
      </c>
      <c r="F189" s="27"/>
      <c r="G189" s="33"/>
      <c r="H189" s="42"/>
      <c r="I189" s="171"/>
      <c r="J189" s="42">
        <v>-114.28</v>
      </c>
      <c r="K189" s="43">
        <f t="shared" si="4"/>
        <v>-114.28</v>
      </c>
      <c r="L189" s="43">
        <f t="shared" si="8"/>
        <v>14436.359999999997</v>
      </c>
      <c r="M189" s="18" t="s">
        <v>90</v>
      </c>
      <c r="N189" s="25"/>
      <c r="Q189" t="s">
        <v>1401</v>
      </c>
      <c r="R189"/>
      <c r="T189" s="43">
        <v>60</v>
      </c>
      <c r="U189" s="4">
        <f>SUM(T183:T189)</f>
        <v>-271</v>
      </c>
      <c r="V189" t="s">
        <v>471</v>
      </c>
    </row>
    <row r="190" spans="1:25" x14ac:dyDescent="0.3">
      <c r="A190" s="12"/>
      <c r="B190" s="106" t="s">
        <v>487</v>
      </c>
      <c r="C190" s="4" t="s">
        <v>299</v>
      </c>
      <c r="D190" s="133" t="s">
        <v>301</v>
      </c>
      <c r="E190" s="213"/>
      <c r="F190" s="213"/>
      <c r="G190" s="214"/>
      <c r="H190" s="215"/>
      <c r="I190" s="215"/>
      <c r="J190" s="232">
        <v>-39</v>
      </c>
      <c r="K190" s="43">
        <f t="shared" si="4"/>
        <v>-39</v>
      </c>
      <c r="L190" s="43">
        <f t="shared" si="6"/>
        <v>14397.359999999997</v>
      </c>
      <c r="M190" s="18" t="s">
        <v>90</v>
      </c>
      <c r="Q190"/>
      <c r="R190"/>
      <c r="S190"/>
      <c r="T190"/>
      <c r="U190"/>
      <c r="V190"/>
    </row>
    <row r="191" spans="1:25" x14ac:dyDescent="0.3">
      <c r="B191" s="106" t="s">
        <v>487</v>
      </c>
      <c r="C191" s="4" t="s">
        <v>607</v>
      </c>
      <c r="D191" s="133" t="s">
        <v>11</v>
      </c>
      <c r="E191" s="213"/>
      <c r="F191" s="213"/>
      <c r="G191" s="214"/>
      <c r="H191" s="215"/>
      <c r="I191" s="215"/>
      <c r="J191" s="232">
        <v>-200</v>
      </c>
      <c r="K191" s="43">
        <f t="shared" si="4"/>
        <v>-200</v>
      </c>
      <c r="L191" s="43">
        <f t="shared" si="6"/>
        <v>14197.359999999997</v>
      </c>
      <c r="M191" s="18" t="s">
        <v>90</v>
      </c>
      <c r="Q191" t="s">
        <v>652</v>
      </c>
      <c r="R191"/>
      <c r="S191"/>
      <c r="T191"/>
      <c r="U191" s="23">
        <f>SUM(U181:U190)</f>
        <v>14550.64</v>
      </c>
      <c r="V191" t="s">
        <v>588</v>
      </c>
    </row>
    <row r="192" spans="1:25" x14ac:dyDescent="0.3">
      <c r="B192" s="106" t="s">
        <v>487</v>
      </c>
      <c r="C192" s="214" t="s">
        <v>1109</v>
      </c>
      <c r="D192" s="133" t="s">
        <v>12</v>
      </c>
      <c r="E192" s="213" t="s">
        <v>1404</v>
      </c>
      <c r="F192" s="215"/>
      <c r="G192" s="214"/>
      <c r="H192" s="215"/>
      <c r="I192" s="215"/>
      <c r="J192" s="232">
        <v>0</v>
      </c>
      <c r="K192" s="43">
        <f t="shared" si="4"/>
        <v>0</v>
      </c>
      <c r="L192" s="43">
        <f t="shared" si="6"/>
        <v>14197.359999999997</v>
      </c>
      <c r="Q192"/>
      <c r="R192"/>
      <c r="S192"/>
      <c r="T192"/>
      <c r="U192"/>
      <c r="V192"/>
    </row>
    <row r="193" spans="1:24" x14ac:dyDescent="0.3">
      <c r="B193" s="106" t="s">
        <v>487</v>
      </c>
      <c r="C193" s="4" t="s">
        <v>48</v>
      </c>
      <c r="D193" s="133" t="s">
        <v>12</v>
      </c>
      <c r="E193" s="213"/>
      <c r="F193" s="215"/>
      <c r="G193" s="214"/>
      <c r="H193" s="215"/>
      <c r="I193" s="215"/>
      <c r="J193" s="232">
        <v>-87.54</v>
      </c>
      <c r="K193" s="43">
        <f t="shared" si="4"/>
        <v>-87.54</v>
      </c>
      <c r="L193" s="43">
        <f t="shared" si="6"/>
        <v>14109.819999999996</v>
      </c>
      <c r="M193" s="18" t="s">
        <v>90</v>
      </c>
      <c r="P193" s="30" t="s">
        <v>1403</v>
      </c>
      <c r="Q193" s="30"/>
      <c r="R193" s="30"/>
      <c r="S193"/>
      <c r="T193"/>
      <c r="U193"/>
      <c r="V193"/>
    </row>
    <row r="194" spans="1:24" x14ac:dyDescent="0.3">
      <c r="B194" s="106" t="s">
        <v>487</v>
      </c>
      <c r="C194" s="280" t="s">
        <v>1271</v>
      </c>
      <c r="D194" s="133" t="s">
        <v>12</v>
      </c>
      <c r="E194" s="210" t="s">
        <v>1404</v>
      </c>
      <c r="F194" s="27"/>
      <c r="G194" s="210"/>
      <c r="H194" s="42"/>
      <c r="I194" s="42"/>
      <c r="J194" s="42">
        <v>0</v>
      </c>
      <c r="K194" s="43">
        <f t="shared" si="4"/>
        <v>0</v>
      </c>
      <c r="L194" s="43">
        <f t="shared" si="6"/>
        <v>14109.819999999996</v>
      </c>
      <c r="M194" s="16"/>
      <c r="N194" s="25"/>
      <c r="O194" s="134"/>
      <c r="P194"/>
      <c r="Q194"/>
      <c r="R194"/>
      <c r="S194"/>
      <c r="T194"/>
      <c r="U194"/>
      <c r="V194"/>
      <c r="X194"/>
    </row>
    <row r="195" spans="1:24" x14ac:dyDescent="0.3">
      <c r="A195" s="12"/>
      <c r="B195" s="106" t="s">
        <v>487</v>
      </c>
      <c r="C195" s="4" t="s">
        <v>284</v>
      </c>
      <c r="D195" s="132" t="s">
        <v>1405</v>
      </c>
      <c r="E195" s="120"/>
      <c r="F195" s="27"/>
      <c r="G195" s="33"/>
      <c r="H195" s="42"/>
      <c r="I195" s="42"/>
      <c r="J195" s="227">
        <v>1000</v>
      </c>
      <c r="K195" s="43">
        <f t="shared" si="4"/>
        <v>1000</v>
      </c>
      <c r="L195" s="43">
        <f t="shared" si="6"/>
        <v>15109.819999999996</v>
      </c>
      <c r="M195" s="18" t="s">
        <v>90</v>
      </c>
      <c r="P195" t="s">
        <v>584</v>
      </c>
      <c r="Q195"/>
      <c r="R195"/>
      <c r="S195"/>
      <c r="T195"/>
      <c r="U195">
        <v>14720.82</v>
      </c>
      <c r="V195"/>
      <c r="X195"/>
    </row>
    <row r="196" spans="1:24" x14ac:dyDescent="0.3">
      <c r="A196" s="12"/>
      <c r="B196" s="106" t="s">
        <v>487</v>
      </c>
      <c r="C196" s="4" t="s">
        <v>348</v>
      </c>
      <c r="D196" s="133" t="s">
        <v>518</v>
      </c>
      <c r="E196" s="120"/>
      <c r="F196" s="27"/>
      <c r="G196" s="120"/>
      <c r="H196" s="42"/>
      <c r="I196" s="42"/>
      <c r="J196" s="227">
        <v>-660</v>
      </c>
      <c r="K196" s="43">
        <f t="shared" si="4"/>
        <v>-660</v>
      </c>
      <c r="L196" s="75">
        <f t="shared" si="6"/>
        <v>14449.819999999996</v>
      </c>
      <c r="M196" s="18" t="s">
        <v>90</v>
      </c>
      <c r="Q196" t="s">
        <v>586</v>
      </c>
      <c r="R196"/>
      <c r="S196"/>
      <c r="T196" s="125"/>
      <c r="U196"/>
    </row>
    <row r="197" spans="1:24" x14ac:dyDescent="0.3">
      <c r="B197" s="105"/>
      <c r="C197" s="4"/>
      <c r="D197" s="112"/>
      <c r="E197" s="168"/>
      <c r="F197" s="27"/>
      <c r="G197" s="33"/>
      <c r="H197" s="42"/>
      <c r="I197" s="42"/>
      <c r="J197" s="42"/>
      <c r="K197" s="43">
        <f t="shared" ref="K197:K221" si="9">H197+J197</f>
        <v>0</v>
      </c>
      <c r="L197" s="43">
        <f t="shared" si="6"/>
        <v>14449.819999999996</v>
      </c>
      <c r="Q197">
        <v>500763</v>
      </c>
      <c r="R197"/>
      <c r="S197"/>
      <c r="T197" s="4">
        <v>-50</v>
      </c>
      <c r="U197"/>
    </row>
    <row r="198" spans="1:24" x14ac:dyDescent="0.3">
      <c r="A198" s="28" t="s">
        <v>354</v>
      </c>
      <c r="B198" s="105" t="s">
        <v>488</v>
      </c>
      <c r="C198" s="213" t="s">
        <v>87</v>
      </c>
      <c r="D198" s="133" t="s">
        <v>518</v>
      </c>
      <c r="E198" s="120" t="s">
        <v>1406</v>
      </c>
      <c r="F198" s="27"/>
      <c r="G198" s="33"/>
      <c r="H198" s="42"/>
      <c r="I198" s="42"/>
      <c r="J198" s="170">
        <v>-412.36</v>
      </c>
      <c r="K198" s="43">
        <f t="shared" si="9"/>
        <v>-412.36</v>
      </c>
      <c r="L198" s="43">
        <f t="shared" ref="L198:L257" si="10">L197+K198</f>
        <v>14037.459999999995</v>
      </c>
      <c r="M198" s="18" t="s">
        <v>90</v>
      </c>
      <c r="Q198">
        <v>500790</v>
      </c>
      <c r="R198"/>
      <c r="S198"/>
      <c r="T198" s="4">
        <v>-50</v>
      </c>
      <c r="U198" s="125"/>
    </row>
    <row r="199" spans="1:24" x14ac:dyDescent="0.3">
      <c r="A199" s="12"/>
      <c r="B199" s="105" t="s">
        <v>488</v>
      </c>
      <c r="C199" s="4" t="s">
        <v>58</v>
      </c>
      <c r="D199" s="132" t="s">
        <v>9</v>
      </c>
      <c r="E199" s="168" t="s">
        <v>748</v>
      </c>
      <c r="F199" s="27"/>
      <c r="G199" s="33"/>
      <c r="H199" s="42"/>
      <c r="I199" s="171"/>
      <c r="J199" s="42">
        <v>-115.84</v>
      </c>
      <c r="K199" s="43">
        <f t="shared" si="9"/>
        <v>-115.84</v>
      </c>
      <c r="L199" s="43">
        <f t="shared" si="10"/>
        <v>13921.619999999995</v>
      </c>
      <c r="M199" s="16" t="s">
        <v>90</v>
      </c>
      <c r="Q199">
        <v>500795</v>
      </c>
      <c r="R199"/>
      <c r="S199"/>
      <c r="T199" s="4">
        <v>-50</v>
      </c>
      <c r="U199" s="125"/>
    </row>
    <row r="200" spans="1:24" x14ac:dyDescent="0.3">
      <c r="A200" s="26"/>
      <c r="B200" s="105" t="s">
        <v>488</v>
      </c>
      <c r="C200" s="4" t="s">
        <v>299</v>
      </c>
      <c r="D200" s="133" t="s">
        <v>301</v>
      </c>
      <c r="E200" s="213"/>
      <c r="F200" s="213"/>
      <c r="G200" s="214"/>
      <c r="H200" s="215"/>
      <c r="I200" s="215"/>
      <c r="J200" s="232">
        <v>-39</v>
      </c>
      <c r="K200" s="43">
        <f t="shared" si="9"/>
        <v>-39</v>
      </c>
      <c r="L200" s="43">
        <f t="shared" si="10"/>
        <v>13882.619999999995</v>
      </c>
      <c r="M200" s="16" t="s">
        <v>90</v>
      </c>
      <c r="Q200">
        <v>500799</v>
      </c>
      <c r="R200"/>
      <c r="S200"/>
      <c r="T200" s="4">
        <v>-50</v>
      </c>
      <c r="U200" s="125"/>
    </row>
    <row r="201" spans="1:24" x14ac:dyDescent="0.3">
      <c r="B201" s="105" t="s">
        <v>488</v>
      </c>
      <c r="C201" s="4" t="s">
        <v>607</v>
      </c>
      <c r="D201" s="133" t="s">
        <v>11</v>
      </c>
      <c r="E201" s="213"/>
      <c r="F201" s="213"/>
      <c r="G201" s="214"/>
      <c r="H201" s="215"/>
      <c r="I201" s="215"/>
      <c r="J201" s="232">
        <v>-200</v>
      </c>
      <c r="K201" s="43">
        <f t="shared" si="9"/>
        <v>-200</v>
      </c>
      <c r="L201" s="43">
        <f t="shared" si="10"/>
        <v>13682.619999999995</v>
      </c>
      <c r="M201" s="16" t="s">
        <v>90</v>
      </c>
      <c r="N201" s="18"/>
      <c r="Q201">
        <v>500806</v>
      </c>
      <c r="R201"/>
      <c r="S201"/>
      <c r="T201" s="125">
        <v>-50</v>
      </c>
      <c r="U201" s="125"/>
      <c r="V201" t="s">
        <v>90</v>
      </c>
    </row>
    <row r="202" spans="1:24" x14ac:dyDescent="0.3">
      <c r="A202" s="12"/>
      <c r="B202" s="105" t="s">
        <v>488</v>
      </c>
      <c r="C202" s="214" t="s">
        <v>1109</v>
      </c>
      <c r="D202" s="133" t="s">
        <v>12</v>
      </c>
      <c r="E202" s="213" t="s">
        <v>1407</v>
      </c>
      <c r="F202" s="215"/>
      <c r="G202" s="214"/>
      <c r="H202" s="215"/>
      <c r="I202" s="215"/>
      <c r="J202" s="232">
        <v>0</v>
      </c>
      <c r="K202" s="43">
        <f t="shared" si="9"/>
        <v>0</v>
      </c>
      <c r="L202" s="43">
        <f t="shared" si="10"/>
        <v>13682.619999999995</v>
      </c>
      <c r="M202" s="16" t="s">
        <v>90</v>
      </c>
      <c r="Q202" s="15">
        <v>500813</v>
      </c>
      <c r="T202" s="4">
        <v>-81</v>
      </c>
      <c r="U202" s="125"/>
      <c r="V202" t="s">
        <v>90</v>
      </c>
    </row>
    <row r="203" spans="1:24" x14ac:dyDescent="0.3">
      <c r="A203" s="12"/>
      <c r="B203" s="105" t="s">
        <v>488</v>
      </c>
      <c r="C203" s="4" t="s">
        <v>48</v>
      </c>
      <c r="D203" s="133" t="s">
        <v>12</v>
      </c>
      <c r="E203" s="213"/>
      <c r="F203" s="215"/>
      <c r="G203" s="214"/>
      <c r="H203" s="215"/>
      <c r="I203" s="215"/>
      <c r="J203" s="232">
        <v>-87.54</v>
      </c>
      <c r="K203" s="43">
        <f t="shared" si="9"/>
        <v>-87.54</v>
      </c>
      <c r="L203" s="43">
        <f t="shared" si="10"/>
        <v>13595.079999999994</v>
      </c>
      <c r="M203" s="18" t="s">
        <v>60</v>
      </c>
      <c r="Q203" t="s">
        <v>1401</v>
      </c>
      <c r="R203"/>
      <c r="T203" s="43">
        <v>60</v>
      </c>
      <c r="U203" s="4">
        <f>SUM(T197:T203)</f>
        <v>-271</v>
      </c>
      <c r="V203" t="s">
        <v>572</v>
      </c>
      <c r="W203"/>
    </row>
    <row r="204" spans="1:24" x14ac:dyDescent="0.3">
      <c r="A204" s="29"/>
      <c r="B204" s="105" t="s">
        <v>488</v>
      </c>
      <c r="C204" s="280" t="s">
        <v>1271</v>
      </c>
      <c r="D204" s="133" t="s">
        <v>12</v>
      </c>
      <c r="E204" s="210" t="s">
        <v>1407</v>
      </c>
      <c r="F204" s="27"/>
      <c r="G204" s="210"/>
      <c r="H204" s="42"/>
      <c r="I204" s="42"/>
      <c r="J204" s="42">
        <v>0</v>
      </c>
      <c r="K204" s="43">
        <f t="shared" si="9"/>
        <v>0</v>
      </c>
      <c r="L204" s="43">
        <f t="shared" si="10"/>
        <v>13595.079999999994</v>
      </c>
      <c r="P204" t="s">
        <v>652</v>
      </c>
      <c r="R204"/>
      <c r="U204" s="4">
        <f>U195+U203</f>
        <v>14449.82</v>
      </c>
      <c r="V204" s="125" t="s">
        <v>588</v>
      </c>
      <c r="W204"/>
    </row>
    <row r="205" spans="1:24" x14ac:dyDescent="0.3">
      <c r="A205" s="29"/>
      <c r="B205" s="105" t="s">
        <v>488</v>
      </c>
      <c r="C205" s="4" t="s">
        <v>48</v>
      </c>
      <c r="D205" s="133" t="s">
        <v>12</v>
      </c>
      <c r="E205" s="269" t="s">
        <v>1420</v>
      </c>
      <c r="F205" s="240"/>
      <c r="G205" s="264"/>
      <c r="H205" s="240"/>
      <c r="I205" s="240"/>
      <c r="J205" s="271">
        <v>87.54</v>
      </c>
      <c r="K205" s="43">
        <f t="shared" si="9"/>
        <v>87.54</v>
      </c>
      <c r="L205" s="43">
        <f t="shared" si="10"/>
        <v>13682.619999999995</v>
      </c>
      <c r="M205" s="18" t="s">
        <v>60</v>
      </c>
      <c r="W205"/>
    </row>
    <row r="206" spans="1:24" x14ac:dyDescent="0.3">
      <c r="B206" s="105" t="s">
        <v>488</v>
      </c>
      <c r="C206" s="4" t="s">
        <v>1363</v>
      </c>
      <c r="D206" s="133" t="s">
        <v>512</v>
      </c>
      <c r="E206" s="269" t="s">
        <v>1418</v>
      </c>
      <c r="F206" s="240"/>
      <c r="G206" s="264"/>
      <c r="H206" s="240"/>
      <c r="I206" s="240"/>
      <c r="J206" s="272">
        <v>-60</v>
      </c>
      <c r="K206" s="43">
        <f t="shared" si="9"/>
        <v>-60</v>
      </c>
      <c r="L206" s="43">
        <f t="shared" si="10"/>
        <v>13622.619999999995</v>
      </c>
      <c r="M206" s="18" t="s">
        <v>471</v>
      </c>
      <c r="V206"/>
    </row>
    <row r="207" spans="1:24" x14ac:dyDescent="0.3">
      <c r="A207" s="12"/>
      <c r="B207" s="105" t="s">
        <v>488</v>
      </c>
      <c r="C207" s="4" t="s">
        <v>1238</v>
      </c>
      <c r="D207" s="133" t="s">
        <v>468</v>
      </c>
      <c r="E207" s="269"/>
      <c r="F207" s="240"/>
      <c r="G207" s="264"/>
      <c r="H207" s="240"/>
      <c r="I207" s="240"/>
      <c r="J207" s="272">
        <v>-44</v>
      </c>
      <c r="K207" s="43">
        <f t="shared" si="9"/>
        <v>-44</v>
      </c>
      <c r="L207" s="43">
        <f t="shared" si="10"/>
        <v>13578.619999999995</v>
      </c>
      <c r="M207" s="18" t="s">
        <v>90</v>
      </c>
      <c r="P207" s="30" t="s">
        <v>1409</v>
      </c>
      <c r="Q207"/>
      <c r="R207"/>
      <c r="S207"/>
      <c r="T207"/>
      <c r="U207" t="s">
        <v>90</v>
      </c>
      <c r="V207"/>
    </row>
    <row r="208" spans="1:24" x14ac:dyDescent="0.3">
      <c r="A208" s="12"/>
      <c r="B208" s="105" t="s">
        <v>488</v>
      </c>
      <c r="C208" s="4" t="s">
        <v>1451</v>
      </c>
      <c r="D208" s="133" t="s">
        <v>512</v>
      </c>
      <c r="E208" s="120"/>
      <c r="F208" s="240"/>
      <c r="G208" s="273"/>
      <c r="H208" s="240">
        <v>110</v>
      </c>
      <c r="I208" s="240"/>
      <c r="J208" s="272"/>
      <c r="K208" s="43">
        <f t="shared" si="9"/>
        <v>110</v>
      </c>
      <c r="L208" s="75">
        <f t="shared" si="10"/>
        <v>13688.619999999995</v>
      </c>
      <c r="M208" s="18" t="s">
        <v>90</v>
      </c>
      <c r="P208"/>
      <c r="Q208" s="15"/>
      <c r="V208"/>
      <c r="W208"/>
    </row>
    <row r="209" spans="1:24" x14ac:dyDescent="0.3">
      <c r="A209" s="12"/>
      <c r="B209" s="105" t="s">
        <v>488</v>
      </c>
      <c r="C209" s="4"/>
      <c r="D209" s="133"/>
      <c r="E209" s="269"/>
      <c r="F209" s="240"/>
      <c r="G209" s="273"/>
      <c r="H209" s="240"/>
      <c r="I209" s="240"/>
      <c r="J209" s="272"/>
      <c r="K209" s="43">
        <f t="shared" si="9"/>
        <v>0</v>
      </c>
      <c r="L209" s="43">
        <f t="shared" si="10"/>
        <v>13688.619999999995</v>
      </c>
      <c r="P209" t="s">
        <v>584</v>
      </c>
      <c r="Q209" s="15"/>
      <c r="U209" s="15">
        <v>13888.62</v>
      </c>
      <c r="V209"/>
    </row>
    <row r="210" spans="1:24" x14ac:dyDescent="0.3">
      <c r="A210" s="12"/>
      <c r="B210" s="105" t="s">
        <v>488</v>
      </c>
      <c r="C210" s="4"/>
      <c r="D210" s="112"/>
      <c r="E210" s="120"/>
      <c r="F210" s="240"/>
      <c r="G210" s="273"/>
      <c r="H210" s="240"/>
      <c r="I210" s="240"/>
      <c r="J210" s="272"/>
      <c r="K210" s="43">
        <f t="shared" si="9"/>
        <v>0</v>
      </c>
      <c r="L210" s="43">
        <f t="shared" si="10"/>
        <v>13688.619999999995</v>
      </c>
      <c r="P210"/>
      <c r="Q210" s="15"/>
      <c r="V210"/>
    </row>
    <row r="211" spans="1:24" x14ac:dyDescent="0.3">
      <c r="A211" s="5" t="s">
        <v>344</v>
      </c>
      <c r="B211" s="106" t="s">
        <v>489</v>
      </c>
      <c r="C211" s="4" t="s">
        <v>58</v>
      </c>
      <c r="D211" s="132" t="s">
        <v>9</v>
      </c>
      <c r="E211" s="168" t="s">
        <v>354</v>
      </c>
      <c r="F211" s="27"/>
      <c r="G211" s="33"/>
      <c r="H211" s="42"/>
      <c r="I211" s="171"/>
      <c r="J211" s="42">
        <v>-115.36</v>
      </c>
      <c r="K211" s="43">
        <f t="shared" si="9"/>
        <v>-115.36</v>
      </c>
      <c r="L211" s="43">
        <f t="shared" si="10"/>
        <v>13573.259999999995</v>
      </c>
      <c r="M211" s="18" t="s">
        <v>90</v>
      </c>
      <c r="P211" t="s">
        <v>586</v>
      </c>
      <c r="Q211"/>
      <c r="R211"/>
      <c r="S211" s="125"/>
      <c r="V211"/>
    </row>
    <row r="212" spans="1:24" x14ac:dyDescent="0.3">
      <c r="A212" s="12"/>
      <c r="B212" s="106" t="s">
        <v>489</v>
      </c>
      <c r="C212" s="4" t="s">
        <v>299</v>
      </c>
      <c r="D212" s="133" t="s">
        <v>301</v>
      </c>
      <c r="E212" s="213"/>
      <c r="F212" s="213"/>
      <c r="G212" s="214"/>
      <c r="H212" s="215"/>
      <c r="I212" s="215"/>
      <c r="J212" s="232">
        <v>-39</v>
      </c>
      <c r="K212" s="43">
        <f t="shared" si="9"/>
        <v>-39</v>
      </c>
      <c r="L212" s="43">
        <f t="shared" si="10"/>
        <v>13534.259999999995</v>
      </c>
      <c r="M212" s="18" t="s">
        <v>90</v>
      </c>
      <c r="P212">
        <v>500763</v>
      </c>
      <c r="Q212"/>
      <c r="R212"/>
      <c r="S212" s="4">
        <v>-50</v>
      </c>
      <c r="V212"/>
    </row>
    <row r="213" spans="1:24" x14ac:dyDescent="0.3">
      <c r="A213" s="12"/>
      <c r="B213" s="106" t="s">
        <v>489</v>
      </c>
      <c r="C213" s="4" t="s">
        <v>607</v>
      </c>
      <c r="D213" s="133" t="s">
        <v>11</v>
      </c>
      <c r="E213" s="213"/>
      <c r="F213" s="213"/>
      <c r="G213" s="214"/>
      <c r="H213" s="215"/>
      <c r="I213" s="215"/>
      <c r="J213" s="232">
        <v>-297.14</v>
      </c>
      <c r="K213" s="43">
        <f t="shared" si="9"/>
        <v>-297.14</v>
      </c>
      <c r="L213" s="43">
        <f t="shared" si="10"/>
        <v>13237.119999999995</v>
      </c>
      <c r="M213" s="18" t="s">
        <v>90</v>
      </c>
      <c r="P213">
        <v>500790</v>
      </c>
      <c r="Q213"/>
      <c r="R213"/>
      <c r="S213" s="4">
        <v>-50</v>
      </c>
      <c r="V213"/>
    </row>
    <row r="214" spans="1:24" x14ac:dyDescent="0.3">
      <c r="A214" s="12"/>
      <c r="B214" s="106" t="s">
        <v>489</v>
      </c>
      <c r="C214" s="214" t="s">
        <v>1109</v>
      </c>
      <c r="D214" s="133" t="s">
        <v>12</v>
      </c>
      <c r="E214" s="213" t="s">
        <v>1407</v>
      </c>
      <c r="F214" s="215"/>
      <c r="G214" s="214"/>
      <c r="H214" s="215"/>
      <c r="I214" s="215"/>
      <c r="J214" s="232">
        <v>0</v>
      </c>
      <c r="K214" s="43">
        <f t="shared" si="9"/>
        <v>0</v>
      </c>
      <c r="L214" s="43">
        <f t="shared" si="10"/>
        <v>13237.119999999995</v>
      </c>
      <c r="M214" s="18" t="s">
        <v>90</v>
      </c>
      <c r="P214">
        <v>500795</v>
      </c>
      <c r="Q214"/>
      <c r="R214"/>
      <c r="S214" s="4">
        <v>-50</v>
      </c>
      <c r="V214"/>
    </row>
    <row r="215" spans="1:24" x14ac:dyDescent="0.3">
      <c r="A215" s="12"/>
      <c r="B215" s="106" t="s">
        <v>489</v>
      </c>
      <c r="C215" s="4" t="s">
        <v>48</v>
      </c>
      <c r="D215" s="133" t="s">
        <v>12</v>
      </c>
      <c r="E215" s="213" t="s">
        <v>1431</v>
      </c>
      <c r="F215" s="215"/>
      <c r="G215" s="214"/>
      <c r="H215" s="215"/>
      <c r="I215" s="215"/>
      <c r="J215" s="232">
        <v>0</v>
      </c>
      <c r="K215" s="43">
        <f t="shared" si="9"/>
        <v>0</v>
      </c>
      <c r="L215" s="43">
        <f t="shared" si="10"/>
        <v>13237.119999999995</v>
      </c>
      <c r="M215" s="18" t="s">
        <v>90</v>
      </c>
      <c r="P215">
        <v>500799</v>
      </c>
      <c r="Q215"/>
      <c r="R215"/>
      <c r="S215" s="4">
        <v>-50</v>
      </c>
      <c r="T215"/>
      <c r="U215" s="4">
        <f>SUM(S212:S215)</f>
        <v>-200</v>
      </c>
      <c r="V215"/>
    </row>
    <row r="216" spans="1:24" x14ac:dyDescent="0.3">
      <c r="A216" s="12"/>
      <c r="B216" s="106" t="s">
        <v>489</v>
      </c>
      <c r="C216" s="1" t="s">
        <v>1421</v>
      </c>
      <c r="D216" s="133" t="s">
        <v>518</v>
      </c>
      <c r="E216" s="269" t="s">
        <v>1422</v>
      </c>
      <c r="F216" s="240"/>
      <c r="G216" s="264"/>
      <c r="H216" s="240"/>
      <c r="I216" s="240"/>
      <c r="J216" s="268">
        <v>-90</v>
      </c>
      <c r="K216" s="43">
        <f t="shared" si="9"/>
        <v>-90</v>
      </c>
      <c r="L216" s="43">
        <f t="shared" si="10"/>
        <v>13147.119999999995</v>
      </c>
      <c r="M216" s="18" t="s">
        <v>90</v>
      </c>
      <c r="P216" t="s">
        <v>652</v>
      </c>
      <c r="Q216"/>
      <c r="R216"/>
      <c r="S216"/>
      <c r="T216" s="23"/>
      <c r="U216">
        <f>SUM(U209:U215)</f>
        <v>13688.62</v>
      </c>
      <c r="V216" t="s">
        <v>588</v>
      </c>
    </row>
    <row r="217" spans="1:24" x14ac:dyDescent="0.3">
      <c r="A217" s="12"/>
      <c r="B217" s="106" t="s">
        <v>489</v>
      </c>
      <c r="C217" s="4" t="s">
        <v>447</v>
      </c>
      <c r="D217" s="133" t="s">
        <v>512</v>
      </c>
      <c r="E217" s="120"/>
      <c r="F217" s="240"/>
      <c r="G217" s="210"/>
      <c r="H217" s="240">
        <v>90</v>
      </c>
      <c r="I217" s="240"/>
      <c r="J217" s="268"/>
      <c r="K217" s="43">
        <f t="shared" si="9"/>
        <v>90</v>
      </c>
      <c r="L217" s="43">
        <f t="shared" si="10"/>
        <v>13237.119999999995</v>
      </c>
      <c r="M217" s="18" t="s">
        <v>90</v>
      </c>
    </row>
    <row r="218" spans="1:24" x14ac:dyDescent="0.3">
      <c r="A218" s="12"/>
      <c r="B218" s="106" t="s">
        <v>489</v>
      </c>
      <c r="C218" s="1" t="s">
        <v>1426</v>
      </c>
      <c r="D218" s="132"/>
      <c r="E218" s="168" t="s">
        <v>1424</v>
      </c>
      <c r="F218" s="240"/>
      <c r="G218" s="210"/>
      <c r="H218" s="240">
        <v>12209.83</v>
      </c>
      <c r="I218" s="240"/>
      <c r="J218" s="268"/>
      <c r="K218" s="43">
        <f t="shared" si="9"/>
        <v>12209.83</v>
      </c>
      <c r="L218" s="43">
        <f t="shared" si="10"/>
        <v>25446.949999999997</v>
      </c>
      <c r="M218" s="18" t="s">
        <v>90</v>
      </c>
      <c r="P218" s="30" t="s">
        <v>1410</v>
      </c>
      <c r="Q218" s="30"/>
      <c r="R218" s="30"/>
      <c r="S218"/>
      <c r="T218"/>
      <c r="U218"/>
    </row>
    <row r="219" spans="1:24" x14ac:dyDescent="0.3">
      <c r="A219" s="12"/>
      <c r="B219" s="106" t="s">
        <v>489</v>
      </c>
      <c r="C219" s="1" t="s">
        <v>1425</v>
      </c>
      <c r="D219" s="116" t="s">
        <v>1332</v>
      </c>
      <c r="E219" s="168" t="s">
        <v>1427</v>
      </c>
      <c r="F219" s="240"/>
      <c r="G219" s="210"/>
      <c r="H219" s="240"/>
      <c r="I219" s="240"/>
      <c r="J219" s="268">
        <v>-15000</v>
      </c>
      <c r="K219" s="43">
        <f t="shared" si="9"/>
        <v>-15000</v>
      </c>
      <c r="L219" s="43">
        <f t="shared" si="10"/>
        <v>10446.949999999997</v>
      </c>
      <c r="M219" s="18" t="s">
        <v>90</v>
      </c>
      <c r="P219"/>
      <c r="Q219"/>
      <c r="R219"/>
      <c r="S219"/>
      <c r="T219"/>
      <c r="U219"/>
    </row>
    <row r="220" spans="1:24" x14ac:dyDescent="0.3">
      <c r="A220" s="12"/>
      <c r="B220" s="106" t="s">
        <v>489</v>
      </c>
      <c r="C220" s="4" t="s">
        <v>58</v>
      </c>
      <c r="D220" s="132" t="s">
        <v>8</v>
      </c>
      <c r="E220" s="168"/>
      <c r="F220" s="240"/>
      <c r="G220" s="210"/>
      <c r="H220" s="240"/>
      <c r="I220" s="240"/>
      <c r="J220" s="268">
        <v>-359.62</v>
      </c>
      <c r="K220" s="43">
        <f t="shared" si="9"/>
        <v>-359.62</v>
      </c>
      <c r="L220" s="43">
        <f t="shared" si="10"/>
        <v>10087.329999999996</v>
      </c>
      <c r="M220" s="18" t="s">
        <v>90</v>
      </c>
      <c r="P220" t="s">
        <v>584</v>
      </c>
      <c r="Q220"/>
      <c r="R220"/>
      <c r="S220"/>
      <c r="T220"/>
      <c r="U220">
        <v>10437.33</v>
      </c>
    </row>
    <row r="221" spans="1:24" x14ac:dyDescent="0.3">
      <c r="A221" s="12"/>
      <c r="B221" s="106" t="s">
        <v>489</v>
      </c>
      <c r="C221" s="1" t="s">
        <v>1271</v>
      </c>
      <c r="D221" s="133" t="s">
        <v>12</v>
      </c>
      <c r="E221" s="168" t="s">
        <v>1428</v>
      </c>
      <c r="F221" s="240"/>
      <c r="G221" s="210"/>
      <c r="H221" s="240"/>
      <c r="I221" s="240"/>
      <c r="J221" s="268">
        <v>-34.799999999999997</v>
      </c>
      <c r="K221" s="43">
        <f t="shared" si="9"/>
        <v>-34.799999999999997</v>
      </c>
      <c r="L221" s="43">
        <f t="shared" si="10"/>
        <v>10052.529999999997</v>
      </c>
      <c r="M221" s="18" t="s">
        <v>90</v>
      </c>
      <c r="P221" t="s">
        <v>586</v>
      </c>
      <c r="Q221"/>
      <c r="R221"/>
      <c r="S221"/>
      <c r="T221"/>
      <c r="U221"/>
    </row>
    <row r="222" spans="1:24" x14ac:dyDescent="0.3">
      <c r="A222" s="12"/>
      <c r="B222" s="106" t="s">
        <v>489</v>
      </c>
      <c r="C222" s="4" t="s">
        <v>1429</v>
      </c>
      <c r="D222" s="112" t="s">
        <v>500</v>
      </c>
      <c r="E222" s="121" t="s">
        <v>1430</v>
      </c>
      <c r="F222" s="27"/>
      <c r="G222" s="207" t="s">
        <v>324</v>
      </c>
      <c r="H222" s="49">
        <v>150</v>
      </c>
      <c r="I222" s="42"/>
      <c r="J222" s="227"/>
      <c r="K222" s="43">
        <f t="shared" ref="K222:K262" si="11">H222+J222</f>
        <v>150</v>
      </c>
      <c r="L222" s="75">
        <f t="shared" si="10"/>
        <v>10202.529999999997</v>
      </c>
      <c r="M222" s="18" t="s">
        <v>90</v>
      </c>
      <c r="P222">
        <v>500763</v>
      </c>
      <c r="Q222"/>
      <c r="R222"/>
      <c r="S222" s="4">
        <v>-50</v>
      </c>
      <c r="X222"/>
    </row>
    <row r="223" spans="1:24" x14ac:dyDescent="0.3">
      <c r="A223" s="28" t="s">
        <v>1453</v>
      </c>
      <c r="C223" s="4"/>
      <c r="D223" s="132"/>
      <c r="E223" s="33"/>
      <c r="F223" s="27"/>
      <c r="G223" s="33"/>
      <c r="H223" s="42"/>
      <c r="I223" s="42"/>
      <c r="J223" s="227"/>
      <c r="K223" s="43">
        <f t="shared" si="11"/>
        <v>0</v>
      </c>
      <c r="L223" s="43">
        <f t="shared" si="10"/>
        <v>10202.529999999997</v>
      </c>
      <c r="P223">
        <v>500790</v>
      </c>
      <c r="Q223"/>
      <c r="R223"/>
      <c r="S223" s="4">
        <v>-50</v>
      </c>
    </row>
    <row r="224" spans="1:24" x14ac:dyDescent="0.3">
      <c r="B224" s="109" t="s">
        <v>490</v>
      </c>
      <c r="C224" s="4" t="s">
        <v>58</v>
      </c>
      <c r="D224" s="132" t="s">
        <v>9</v>
      </c>
      <c r="E224" s="168" t="s">
        <v>1441</v>
      </c>
      <c r="F224" s="27"/>
      <c r="G224" s="33"/>
      <c r="H224" s="42"/>
      <c r="I224" s="171"/>
      <c r="J224" s="42">
        <v>304.42</v>
      </c>
      <c r="K224" s="43">
        <f t="shared" si="11"/>
        <v>304.42</v>
      </c>
      <c r="L224" s="43">
        <f t="shared" si="10"/>
        <v>10506.949999999997</v>
      </c>
      <c r="M224" s="16" t="s">
        <v>572</v>
      </c>
      <c r="P224">
        <v>500795</v>
      </c>
      <c r="Q224"/>
      <c r="R224"/>
      <c r="S224" s="4">
        <v>-50</v>
      </c>
    </row>
    <row r="225" spans="1:22" x14ac:dyDescent="0.3">
      <c r="B225" s="109" t="s">
        <v>490</v>
      </c>
      <c r="C225" s="4" t="s">
        <v>299</v>
      </c>
      <c r="D225" s="133" t="s">
        <v>301</v>
      </c>
      <c r="E225" s="213"/>
      <c r="F225" s="213"/>
      <c r="G225" s="214"/>
      <c r="H225" s="215"/>
      <c r="I225" s="215"/>
      <c r="J225" s="232">
        <v>-38.229999999999997</v>
      </c>
      <c r="K225" s="43">
        <f t="shared" si="11"/>
        <v>-38.229999999999997</v>
      </c>
      <c r="L225" s="43">
        <f t="shared" si="10"/>
        <v>10468.719999999998</v>
      </c>
      <c r="M225" s="18" t="s">
        <v>90</v>
      </c>
      <c r="P225">
        <v>500799</v>
      </c>
      <c r="Q225"/>
      <c r="R225"/>
      <c r="S225" s="4">
        <v>-50</v>
      </c>
      <c r="T225"/>
      <c r="U225" s="4"/>
    </row>
    <row r="226" spans="1:22" x14ac:dyDescent="0.3">
      <c r="A226" s="40"/>
      <c r="B226" s="109" t="s">
        <v>490</v>
      </c>
      <c r="C226" s="4" t="s">
        <v>607</v>
      </c>
      <c r="D226" s="133" t="s">
        <v>11</v>
      </c>
      <c r="E226" s="213"/>
      <c r="F226" s="213"/>
      <c r="G226" s="214"/>
      <c r="H226" s="215"/>
      <c r="I226" s="215"/>
      <c r="J226" s="232">
        <v>-297.14</v>
      </c>
      <c r="K226" s="43">
        <f t="shared" si="11"/>
        <v>-297.14</v>
      </c>
      <c r="L226" s="43">
        <f t="shared" si="10"/>
        <v>10171.579999999998</v>
      </c>
      <c r="M226" s="18" t="s">
        <v>90</v>
      </c>
      <c r="P226" t="s">
        <v>1100</v>
      </c>
      <c r="S226" s="4">
        <v>-34.799999999999997</v>
      </c>
      <c r="T226" t="s">
        <v>1443</v>
      </c>
      <c r="U226" s="11">
        <f>SUM(S222:S226)</f>
        <v>-234.8</v>
      </c>
    </row>
    <row r="227" spans="1:22" x14ac:dyDescent="0.3">
      <c r="A227" s="12"/>
      <c r="B227" s="109" t="s">
        <v>490</v>
      </c>
      <c r="C227" s="214" t="s">
        <v>1109</v>
      </c>
      <c r="D227" s="133" t="s">
        <v>12</v>
      </c>
      <c r="E227" s="213" t="s">
        <v>762</v>
      </c>
      <c r="F227" s="215"/>
      <c r="G227" s="214"/>
      <c r="H227" s="215"/>
      <c r="I227" s="215"/>
      <c r="J227" s="232">
        <v>0</v>
      </c>
      <c r="K227" s="43">
        <f t="shared" si="11"/>
        <v>0</v>
      </c>
      <c r="L227" s="43">
        <f t="shared" si="10"/>
        <v>10171.579999999998</v>
      </c>
    </row>
    <row r="228" spans="1:22" x14ac:dyDescent="0.3">
      <c r="B228" s="109" t="s">
        <v>490</v>
      </c>
      <c r="C228" s="4" t="s">
        <v>48</v>
      </c>
      <c r="D228" s="133" t="s">
        <v>12</v>
      </c>
      <c r="E228" s="213" t="s">
        <v>1431</v>
      </c>
      <c r="F228" s="215"/>
      <c r="G228" s="214"/>
      <c r="H228" s="215"/>
      <c r="I228" s="215"/>
      <c r="J228" s="232">
        <v>-65.680000000000007</v>
      </c>
      <c r="K228" s="43">
        <f t="shared" si="11"/>
        <v>-65.680000000000007</v>
      </c>
      <c r="L228" s="43">
        <f t="shared" si="10"/>
        <v>10105.899999999998</v>
      </c>
      <c r="M228" s="18" t="s">
        <v>90</v>
      </c>
      <c r="P228" t="s">
        <v>652</v>
      </c>
      <c r="Q228"/>
      <c r="R228"/>
      <c r="S228"/>
      <c r="T228" s="23"/>
      <c r="U228" s="4">
        <f>SUM(U220:U226)</f>
        <v>10202.530000000001</v>
      </c>
      <c r="V228" t="s">
        <v>588</v>
      </c>
    </row>
    <row r="229" spans="1:22" x14ac:dyDescent="0.3">
      <c r="A229" s="26"/>
      <c r="B229" s="109" t="s">
        <v>490</v>
      </c>
      <c r="C229" s="4" t="s">
        <v>234</v>
      </c>
      <c r="D229" s="133" t="s">
        <v>12</v>
      </c>
      <c r="E229" s="269" t="s">
        <v>1432</v>
      </c>
      <c r="F229" s="240"/>
      <c r="G229" s="264"/>
      <c r="H229" s="240"/>
      <c r="I229" s="240"/>
      <c r="J229" s="271">
        <v>-89.95</v>
      </c>
      <c r="K229" s="43">
        <f t="shared" si="11"/>
        <v>-89.95</v>
      </c>
      <c r="L229" s="43">
        <f t="shared" si="10"/>
        <v>10015.949999999997</v>
      </c>
      <c r="P229" s="244"/>
      <c r="Q229" s="15"/>
      <c r="U229"/>
    </row>
    <row r="230" spans="1:22" x14ac:dyDescent="0.3">
      <c r="A230" s="26"/>
      <c r="B230" s="109" t="s">
        <v>490</v>
      </c>
      <c r="C230" s="4" t="s">
        <v>868</v>
      </c>
      <c r="D230" s="133" t="s">
        <v>518</v>
      </c>
      <c r="E230" s="269" t="s">
        <v>1433</v>
      </c>
      <c r="F230" s="240"/>
      <c r="G230" s="264"/>
      <c r="H230" s="240"/>
      <c r="I230" s="240"/>
      <c r="J230" s="272">
        <v>-155.59</v>
      </c>
      <c r="K230" s="43">
        <f t="shared" si="11"/>
        <v>-155.59</v>
      </c>
      <c r="L230" s="43">
        <f t="shared" si="10"/>
        <v>9860.3599999999969</v>
      </c>
      <c r="M230" s="18" t="s">
        <v>90</v>
      </c>
      <c r="P230" s="30" t="s">
        <v>1411</v>
      </c>
      <c r="Q230" s="30"/>
      <c r="R230" s="30"/>
      <c r="S230"/>
      <c r="T230"/>
      <c r="U230"/>
    </row>
    <row r="231" spans="1:22" x14ac:dyDescent="0.3">
      <c r="B231" s="109" t="s">
        <v>490</v>
      </c>
      <c r="C231" s="4" t="s">
        <v>237</v>
      </c>
      <c r="D231" s="133" t="s">
        <v>623</v>
      </c>
      <c r="E231" s="168" t="s">
        <v>1434</v>
      </c>
      <c r="F231" s="52"/>
      <c r="G231" s="33">
        <v>500143</v>
      </c>
      <c r="H231" s="42"/>
      <c r="I231" s="42"/>
      <c r="J231" s="227">
        <v>-150</v>
      </c>
      <c r="K231" s="43">
        <f t="shared" si="11"/>
        <v>-150</v>
      </c>
      <c r="L231" s="43">
        <f t="shared" si="10"/>
        <v>9710.3599999999969</v>
      </c>
      <c r="M231" s="18" t="s">
        <v>90</v>
      </c>
      <c r="P231"/>
      <c r="Q231"/>
      <c r="R231"/>
      <c r="S231"/>
      <c r="T231"/>
      <c r="U231"/>
    </row>
    <row r="232" spans="1:22" x14ac:dyDescent="0.3">
      <c r="B232" s="109" t="s">
        <v>490</v>
      </c>
      <c r="C232" s="4" t="s">
        <v>1438</v>
      </c>
      <c r="D232" s="133" t="s">
        <v>512</v>
      </c>
      <c r="E232" s="168" t="s">
        <v>1435</v>
      </c>
      <c r="F232" s="52"/>
      <c r="G232" s="33"/>
      <c r="H232" s="42">
        <v>140</v>
      </c>
      <c r="I232" s="42"/>
      <c r="J232" s="42"/>
      <c r="K232" s="43">
        <f t="shared" si="11"/>
        <v>140</v>
      </c>
      <c r="L232" s="43">
        <f t="shared" si="10"/>
        <v>9850.3599999999969</v>
      </c>
      <c r="M232" s="18" t="s">
        <v>90</v>
      </c>
      <c r="P232" t="s">
        <v>584</v>
      </c>
      <c r="Q232"/>
      <c r="R232"/>
      <c r="S232"/>
      <c r="T232"/>
      <c r="U232">
        <v>9635.94</v>
      </c>
    </row>
    <row r="233" spans="1:22" x14ac:dyDescent="0.3">
      <c r="A233" s="12"/>
      <c r="B233" s="109" t="s">
        <v>490</v>
      </c>
      <c r="C233" s="4" t="s">
        <v>1439</v>
      </c>
      <c r="D233" s="112" t="s">
        <v>504</v>
      </c>
      <c r="E233" s="121" t="s">
        <v>1081</v>
      </c>
      <c r="F233" s="27"/>
      <c r="G233" s="33">
        <v>500815</v>
      </c>
      <c r="H233" s="42"/>
      <c r="I233" s="42"/>
      <c r="J233" s="42">
        <v>-50</v>
      </c>
      <c r="K233" s="43">
        <f t="shared" si="11"/>
        <v>-50</v>
      </c>
      <c r="L233" s="43">
        <f t="shared" si="10"/>
        <v>9800.3599999999969</v>
      </c>
      <c r="M233" s="16" t="s">
        <v>412</v>
      </c>
      <c r="P233" t="s">
        <v>586</v>
      </c>
      <c r="Q233"/>
      <c r="R233"/>
      <c r="S233"/>
      <c r="T233"/>
      <c r="U233"/>
    </row>
    <row r="234" spans="1:22" x14ac:dyDescent="0.3">
      <c r="A234" s="29"/>
      <c r="B234" s="109" t="s">
        <v>490</v>
      </c>
      <c r="C234" s="4" t="s">
        <v>1439</v>
      </c>
      <c r="D234" s="133" t="s">
        <v>512</v>
      </c>
      <c r="E234" s="120" t="s">
        <v>1389</v>
      </c>
      <c r="F234" s="27"/>
      <c r="G234" s="210">
        <v>500815</v>
      </c>
      <c r="H234" s="42"/>
      <c r="I234" s="42"/>
      <c r="J234" s="170">
        <v>-60</v>
      </c>
      <c r="K234" s="43">
        <f t="shared" si="11"/>
        <v>-60</v>
      </c>
      <c r="L234" s="43">
        <f t="shared" si="10"/>
        <v>9740.3599999999969</v>
      </c>
      <c r="M234" s="16" t="s">
        <v>412</v>
      </c>
      <c r="P234">
        <v>500763</v>
      </c>
      <c r="Q234"/>
      <c r="R234"/>
      <c r="S234" s="4">
        <v>-50</v>
      </c>
      <c r="T234"/>
      <c r="U234"/>
    </row>
    <row r="235" spans="1:22" x14ac:dyDescent="0.3">
      <c r="A235" s="29"/>
      <c r="B235" s="109" t="s">
        <v>490</v>
      </c>
      <c r="C235" s="1" t="s">
        <v>1271</v>
      </c>
      <c r="D235" s="133" t="s">
        <v>12</v>
      </c>
      <c r="E235" s="168" t="s">
        <v>835</v>
      </c>
      <c r="F235" s="27"/>
      <c r="G235" s="33"/>
      <c r="H235" s="42"/>
      <c r="I235" s="42"/>
      <c r="J235" s="42">
        <v>-304.5</v>
      </c>
      <c r="K235" s="43">
        <f t="shared" si="11"/>
        <v>-304.5</v>
      </c>
      <c r="L235" s="43">
        <f t="shared" si="10"/>
        <v>9435.8599999999969</v>
      </c>
      <c r="M235" s="16"/>
      <c r="P235">
        <v>500790</v>
      </c>
      <c r="Q235"/>
      <c r="R235"/>
      <c r="S235" s="4">
        <v>-50</v>
      </c>
      <c r="U235" s="18"/>
    </row>
    <row r="236" spans="1:22" x14ac:dyDescent="0.3">
      <c r="A236" s="29"/>
      <c r="B236" s="109" t="s">
        <v>490</v>
      </c>
      <c r="C236" s="4" t="s">
        <v>1442</v>
      </c>
      <c r="D236" s="132" t="s">
        <v>13</v>
      </c>
      <c r="E236" s="120" t="s">
        <v>315</v>
      </c>
      <c r="F236" s="27"/>
      <c r="G236" s="33"/>
      <c r="H236" s="42"/>
      <c r="I236" s="42"/>
      <c r="J236" s="42">
        <v>-626.16</v>
      </c>
      <c r="K236" s="43">
        <f t="shared" si="11"/>
        <v>-626.16</v>
      </c>
      <c r="L236" s="75">
        <f t="shared" si="10"/>
        <v>8809.6999999999971</v>
      </c>
      <c r="M236" s="16"/>
      <c r="P236">
        <v>500795</v>
      </c>
      <c r="Q236"/>
      <c r="R236"/>
      <c r="S236" s="4">
        <v>-50</v>
      </c>
      <c r="T236"/>
      <c r="U236"/>
    </row>
    <row r="237" spans="1:22" x14ac:dyDescent="0.3">
      <c r="B237" s="105"/>
      <c r="C237" s="4"/>
      <c r="D237" s="133"/>
      <c r="E237" s="120"/>
      <c r="F237" s="27"/>
      <c r="G237" s="210"/>
      <c r="H237" s="42"/>
      <c r="I237" s="42"/>
      <c r="J237" s="42"/>
      <c r="K237" s="43">
        <f t="shared" si="11"/>
        <v>0</v>
      </c>
      <c r="L237" s="43">
        <f t="shared" si="10"/>
        <v>8809.6999999999971</v>
      </c>
      <c r="M237" s="16"/>
      <c r="P237">
        <v>500799</v>
      </c>
      <c r="Q237"/>
      <c r="R237"/>
      <c r="S237" s="4">
        <v>-50</v>
      </c>
      <c r="T237"/>
      <c r="U237"/>
    </row>
    <row r="238" spans="1:22" x14ac:dyDescent="0.3">
      <c r="A238" s="28" t="s">
        <v>400</v>
      </c>
      <c r="B238" s="105" t="s">
        <v>400</v>
      </c>
      <c r="C238" s="4" t="s">
        <v>174</v>
      </c>
      <c r="D238" s="132" t="s">
        <v>513</v>
      </c>
      <c r="E238" s="120" t="s">
        <v>1182</v>
      </c>
      <c r="F238" s="27"/>
      <c r="G238" s="33"/>
      <c r="H238" s="51">
        <v>4016.25</v>
      </c>
      <c r="I238" s="42"/>
      <c r="J238" s="42"/>
      <c r="K238" s="43">
        <f t="shared" si="11"/>
        <v>4016.25</v>
      </c>
      <c r="L238" s="43">
        <f t="shared" si="10"/>
        <v>12825.949999999997</v>
      </c>
      <c r="M238" s="16" t="s">
        <v>90</v>
      </c>
      <c r="P238" s="4"/>
      <c r="Q238" s="15"/>
      <c r="S238" s="4"/>
      <c r="T238"/>
      <c r="U238"/>
    </row>
    <row r="239" spans="1:22" x14ac:dyDescent="0.3">
      <c r="A239" s="12"/>
      <c r="B239" s="105" t="s">
        <v>400</v>
      </c>
      <c r="C239" s="4" t="s">
        <v>58</v>
      </c>
      <c r="D239" s="132" t="s">
        <v>9</v>
      </c>
      <c r="E239" s="168" t="s">
        <v>1446</v>
      </c>
      <c r="F239" s="27"/>
      <c r="G239" s="33"/>
      <c r="H239" s="42"/>
      <c r="I239" s="171"/>
      <c r="J239" s="42">
        <v>-304.42</v>
      </c>
      <c r="K239" s="43">
        <f t="shared" si="11"/>
        <v>-304.42</v>
      </c>
      <c r="L239" s="43">
        <f t="shared" si="10"/>
        <v>12521.529999999997</v>
      </c>
      <c r="M239" s="18" t="s">
        <v>572</v>
      </c>
      <c r="P239" s="4" t="s">
        <v>1100</v>
      </c>
      <c r="Q239" s="15"/>
      <c r="S239" s="4">
        <v>-304.5</v>
      </c>
      <c r="T239" t="s">
        <v>1201</v>
      </c>
      <c r="U239"/>
    </row>
    <row r="240" spans="1:22" x14ac:dyDescent="0.3">
      <c r="A240" s="12"/>
      <c r="B240" s="105" t="s">
        <v>400</v>
      </c>
      <c r="C240" s="4" t="s">
        <v>58</v>
      </c>
      <c r="D240" s="132" t="s">
        <v>9</v>
      </c>
      <c r="E240" s="1" t="s">
        <v>1447</v>
      </c>
      <c r="J240" s="43">
        <v>304.42</v>
      </c>
      <c r="K240" s="43">
        <f t="shared" si="11"/>
        <v>304.42</v>
      </c>
      <c r="L240" s="43">
        <f t="shared" si="10"/>
        <v>12825.949999999997</v>
      </c>
      <c r="M240" s="16" t="s">
        <v>572</v>
      </c>
      <c r="N240"/>
      <c r="P240" s="244" t="s">
        <v>1444</v>
      </c>
      <c r="Q240" s="15"/>
      <c r="S240" s="4">
        <v>-626.16</v>
      </c>
      <c r="T240" t="s">
        <v>1201</v>
      </c>
      <c r="U240"/>
    </row>
    <row r="241" spans="1:24" x14ac:dyDescent="0.3">
      <c r="A241" s="12"/>
      <c r="B241" s="105" t="s">
        <v>400</v>
      </c>
      <c r="C241" s="4" t="s">
        <v>299</v>
      </c>
      <c r="D241" s="133" t="s">
        <v>301</v>
      </c>
      <c r="E241" s="213"/>
      <c r="F241" s="213"/>
      <c r="G241" s="214"/>
      <c r="H241" s="215"/>
      <c r="I241" s="215"/>
      <c r="J241" s="232">
        <v>-39</v>
      </c>
      <c r="K241" s="43">
        <f t="shared" si="11"/>
        <v>-39</v>
      </c>
      <c r="L241" s="43">
        <f t="shared" si="10"/>
        <v>12786.949999999997</v>
      </c>
      <c r="M241" s="16" t="s">
        <v>90</v>
      </c>
      <c r="U241" s="4">
        <f>SUM(S234:S240)</f>
        <v>-1130.6599999999999</v>
      </c>
    </row>
    <row r="242" spans="1:24" x14ac:dyDescent="0.3">
      <c r="A242" s="12"/>
      <c r="B242" s="105" t="s">
        <v>400</v>
      </c>
      <c r="C242" s="4" t="s">
        <v>607</v>
      </c>
      <c r="D242" s="133" t="s">
        <v>11</v>
      </c>
      <c r="E242" s="213"/>
      <c r="F242" s="213"/>
      <c r="G242" s="214"/>
      <c r="H242" s="215"/>
      <c r="I242" s="215"/>
      <c r="J242" s="232">
        <v>-297.14</v>
      </c>
      <c r="K242" s="43">
        <f t="shared" si="11"/>
        <v>-297.14</v>
      </c>
      <c r="L242" s="43">
        <f t="shared" si="10"/>
        <v>12489.809999999998</v>
      </c>
      <c r="M242" s="16" t="s">
        <v>90</v>
      </c>
      <c r="P242" s="4" t="s">
        <v>1445</v>
      </c>
      <c r="U242" s="15">
        <v>304.42</v>
      </c>
      <c r="V242" t="s">
        <v>572</v>
      </c>
    </row>
    <row r="243" spans="1:24" x14ac:dyDescent="0.3">
      <c r="A243" s="12"/>
      <c r="B243" s="105" t="s">
        <v>400</v>
      </c>
      <c r="C243" s="214" t="s">
        <v>1109</v>
      </c>
      <c r="D243" s="133" t="s">
        <v>12</v>
      </c>
      <c r="E243" s="213"/>
      <c r="F243" s="215"/>
      <c r="G243" s="214"/>
      <c r="H243" s="215"/>
      <c r="I243" s="215"/>
      <c r="J243" s="232">
        <v>-36.5</v>
      </c>
      <c r="K243" s="43">
        <f t="shared" si="11"/>
        <v>-36.5</v>
      </c>
      <c r="L243" s="43">
        <f t="shared" si="10"/>
        <v>12453.309999999998</v>
      </c>
      <c r="M243" s="16" t="s">
        <v>90</v>
      </c>
      <c r="W243"/>
    </row>
    <row r="244" spans="1:24" x14ac:dyDescent="0.3">
      <c r="A244" s="12"/>
      <c r="B244" s="105" t="s">
        <v>400</v>
      </c>
      <c r="C244" s="4" t="s">
        <v>48</v>
      </c>
      <c r="D244" s="133" t="s">
        <v>12</v>
      </c>
      <c r="E244" s="213"/>
      <c r="F244" s="215"/>
      <c r="G244" s="214"/>
      <c r="H244" s="215"/>
      <c r="I244" s="215"/>
      <c r="J244" s="232">
        <v>-87.54</v>
      </c>
      <c r="K244" s="43">
        <f t="shared" si="11"/>
        <v>-87.54</v>
      </c>
      <c r="L244" s="43">
        <f t="shared" si="10"/>
        <v>12365.769999999997</v>
      </c>
      <c r="M244" s="16" t="s">
        <v>90</v>
      </c>
      <c r="P244" t="s">
        <v>652</v>
      </c>
      <c r="Q244"/>
      <c r="R244"/>
      <c r="S244" s="125"/>
      <c r="T244"/>
      <c r="U244" s="74">
        <f>U232+U241+U242</f>
        <v>8809.7000000000007</v>
      </c>
      <c r="V244" s="125" t="s">
        <v>588</v>
      </c>
      <c r="W244"/>
    </row>
    <row r="245" spans="1:24" x14ac:dyDescent="0.3">
      <c r="A245" s="12"/>
      <c r="B245" s="105" t="s">
        <v>400</v>
      </c>
      <c r="C245" s="1" t="s">
        <v>1271</v>
      </c>
      <c r="D245" s="133" t="s">
        <v>12</v>
      </c>
      <c r="E245" s="168" t="s">
        <v>863</v>
      </c>
      <c r="F245" s="27"/>
      <c r="G245" s="33"/>
      <c r="H245" s="42"/>
      <c r="I245" s="42"/>
      <c r="J245" s="42">
        <v>-391.5</v>
      </c>
      <c r="K245" s="43">
        <f t="shared" si="11"/>
        <v>-391.5</v>
      </c>
      <c r="L245" s="43">
        <f t="shared" si="10"/>
        <v>11974.269999999997</v>
      </c>
      <c r="M245" s="16" t="s">
        <v>1458</v>
      </c>
      <c r="P245"/>
      <c r="Q245"/>
      <c r="R245"/>
      <c r="S245"/>
      <c r="T245"/>
      <c r="W245"/>
    </row>
    <row r="246" spans="1:24" x14ac:dyDescent="0.3">
      <c r="A246" s="12"/>
      <c r="B246" s="105" t="s">
        <v>400</v>
      </c>
      <c r="C246" s="4" t="s">
        <v>1177</v>
      </c>
      <c r="D246" s="133" t="s">
        <v>518</v>
      </c>
      <c r="E246" s="120" t="s">
        <v>1448</v>
      </c>
      <c r="F246" s="27"/>
      <c r="G246" s="33"/>
      <c r="H246" s="42"/>
      <c r="I246" s="42"/>
      <c r="J246" s="42">
        <v>-40</v>
      </c>
      <c r="K246" s="43">
        <f t="shared" si="11"/>
        <v>-40</v>
      </c>
      <c r="L246" s="43">
        <f t="shared" si="10"/>
        <v>11934.269999999997</v>
      </c>
      <c r="M246" s="16" t="s">
        <v>90</v>
      </c>
      <c r="P246" s="30" t="s">
        <v>1412</v>
      </c>
      <c r="Q246" s="30"/>
      <c r="R246" s="30"/>
      <c r="S246"/>
      <c r="T246"/>
      <c r="U246" s="43">
        <v>12307.19</v>
      </c>
    </row>
    <row r="247" spans="1:24" x14ac:dyDescent="0.3">
      <c r="A247" s="12"/>
      <c r="B247" s="105" t="s">
        <v>400</v>
      </c>
      <c r="C247" s="4" t="s">
        <v>1449</v>
      </c>
      <c r="D247" s="133" t="s">
        <v>512</v>
      </c>
      <c r="E247" s="120"/>
      <c r="F247" s="27"/>
      <c r="G247" s="210"/>
      <c r="H247" s="42">
        <v>88</v>
      </c>
      <c r="I247" s="42"/>
      <c r="J247" s="42"/>
      <c r="K247" s="43">
        <f t="shared" si="11"/>
        <v>88</v>
      </c>
      <c r="L247" s="43">
        <f t="shared" si="10"/>
        <v>12022.269999999997</v>
      </c>
      <c r="M247" s="16" t="s">
        <v>90</v>
      </c>
      <c r="P247"/>
      <c r="Q247"/>
      <c r="R247"/>
      <c r="S247"/>
      <c r="T247"/>
      <c r="U247" s="43"/>
    </row>
    <row r="248" spans="1:24" x14ac:dyDescent="0.3">
      <c r="A248" s="12"/>
      <c r="B248" s="105" t="s">
        <v>400</v>
      </c>
      <c r="C248" s="4" t="s">
        <v>1450</v>
      </c>
      <c r="D248" s="133" t="s">
        <v>622</v>
      </c>
      <c r="E248" s="120"/>
      <c r="F248" s="27"/>
      <c r="G248" s="120"/>
      <c r="H248" s="42">
        <v>50</v>
      </c>
      <c r="I248" s="42"/>
      <c r="J248" s="42"/>
      <c r="K248" s="43">
        <f t="shared" si="11"/>
        <v>50</v>
      </c>
      <c r="L248" s="43">
        <f t="shared" si="10"/>
        <v>12072.269999999997</v>
      </c>
      <c r="M248" s="16" t="s">
        <v>90</v>
      </c>
      <c r="P248" t="s">
        <v>1413</v>
      </c>
      <c r="Q248"/>
      <c r="R248"/>
      <c r="S248"/>
      <c r="T248"/>
      <c r="W248"/>
    </row>
    <row r="249" spans="1:24" x14ac:dyDescent="0.3">
      <c r="B249" s="105" t="s">
        <v>400</v>
      </c>
      <c r="C249" s="4" t="s">
        <v>1452</v>
      </c>
      <c r="D249" s="133" t="s">
        <v>518</v>
      </c>
      <c r="E249" s="120"/>
      <c r="F249" s="27"/>
      <c r="G249" s="33"/>
      <c r="H249" s="42"/>
      <c r="I249" s="42"/>
      <c r="J249" s="42">
        <v>-265.11</v>
      </c>
      <c r="K249" s="43">
        <f t="shared" si="11"/>
        <v>-265.11</v>
      </c>
      <c r="L249" s="43">
        <f t="shared" si="10"/>
        <v>11807.159999999996</v>
      </c>
      <c r="M249" s="16" t="s">
        <v>90</v>
      </c>
      <c r="P249" t="s">
        <v>586</v>
      </c>
      <c r="Q249"/>
      <c r="R249"/>
      <c r="S249" s="125"/>
    </row>
    <row r="250" spans="1:24" x14ac:dyDescent="0.3">
      <c r="A250" s="12"/>
      <c r="B250" s="105" t="s">
        <v>400</v>
      </c>
      <c r="C250" s="4" t="s">
        <v>1315</v>
      </c>
      <c r="D250" s="132" t="s">
        <v>513</v>
      </c>
      <c r="E250" s="120"/>
      <c r="F250" s="27"/>
      <c r="G250" s="33"/>
      <c r="H250" s="51">
        <v>212.95</v>
      </c>
      <c r="I250" s="42"/>
      <c r="J250" s="42"/>
      <c r="K250" s="43">
        <f t="shared" si="11"/>
        <v>212.95</v>
      </c>
      <c r="L250" s="75">
        <f t="shared" si="10"/>
        <v>12020.109999999997</v>
      </c>
      <c r="M250" s="16" t="s">
        <v>90</v>
      </c>
      <c r="P250">
        <v>500763</v>
      </c>
      <c r="Q250"/>
      <c r="R250"/>
      <c r="S250" s="4">
        <v>-50</v>
      </c>
      <c r="U250" s="43"/>
      <c r="X250"/>
    </row>
    <row r="251" spans="1:24" x14ac:dyDescent="0.3">
      <c r="A251" s="28"/>
      <c r="B251" s="105" t="s">
        <v>400</v>
      </c>
      <c r="D251" s="116"/>
      <c r="E251" s="33"/>
      <c r="F251" s="52"/>
      <c r="G251" s="33"/>
      <c r="H251" s="42"/>
      <c r="I251" s="42"/>
      <c r="J251" s="42"/>
      <c r="K251" s="43">
        <f t="shared" si="11"/>
        <v>0</v>
      </c>
      <c r="L251" s="43">
        <f t="shared" si="10"/>
        <v>12020.109999999997</v>
      </c>
      <c r="P251">
        <v>500790</v>
      </c>
      <c r="Q251"/>
      <c r="R251"/>
      <c r="S251" s="4">
        <v>-50</v>
      </c>
      <c r="T251"/>
      <c r="U251" s="43"/>
      <c r="W251" s="125" t="s">
        <v>1169</v>
      </c>
    </row>
    <row r="252" spans="1:24" x14ac:dyDescent="0.3">
      <c r="A252" s="40"/>
      <c r="B252" s="105"/>
      <c r="C252" s="4"/>
      <c r="D252" s="133"/>
      <c r="E252" s="120"/>
      <c r="F252" s="27"/>
      <c r="G252" s="33"/>
      <c r="H252" s="42"/>
      <c r="I252" s="42"/>
      <c r="J252" s="42"/>
      <c r="K252" s="43">
        <f t="shared" si="11"/>
        <v>0</v>
      </c>
      <c r="L252" s="43">
        <f t="shared" si="10"/>
        <v>12020.109999999997</v>
      </c>
      <c r="P252">
        <v>500795</v>
      </c>
      <c r="Q252"/>
      <c r="R252"/>
      <c r="S252" s="4">
        <v>-50</v>
      </c>
      <c r="T252"/>
      <c r="U252" s="43"/>
    </row>
    <row r="253" spans="1:24" x14ac:dyDescent="0.3">
      <c r="A253" s="28" t="s">
        <v>491</v>
      </c>
      <c r="B253" s="131"/>
      <c r="C253" s="4"/>
      <c r="D253" s="132"/>
      <c r="E253" s="168"/>
      <c r="F253" s="27"/>
      <c r="G253" s="33"/>
      <c r="H253" s="42"/>
      <c r="I253" s="171"/>
      <c r="J253" s="42"/>
      <c r="K253" s="43">
        <f t="shared" ref="K253:K260" si="12">H253+J253</f>
        <v>0</v>
      </c>
      <c r="L253" s="43">
        <f t="shared" si="10"/>
        <v>12020.109999999997</v>
      </c>
      <c r="M253" s="16"/>
      <c r="P253">
        <v>500799</v>
      </c>
      <c r="Q253"/>
      <c r="R253"/>
      <c r="S253" s="4">
        <v>-50</v>
      </c>
      <c r="T253"/>
      <c r="U253" s="254"/>
    </row>
    <row r="254" spans="1:24" x14ac:dyDescent="0.3">
      <c r="B254" s="131" t="s">
        <v>491</v>
      </c>
      <c r="C254" s="4" t="s">
        <v>58</v>
      </c>
      <c r="D254" s="132" t="s">
        <v>9</v>
      </c>
      <c r="E254" s="1" t="s">
        <v>1455</v>
      </c>
      <c r="J254" s="43">
        <v>-304.42</v>
      </c>
      <c r="K254" s="43">
        <f t="shared" si="12"/>
        <v>-304.42</v>
      </c>
      <c r="L254" s="43">
        <f t="shared" si="10"/>
        <v>11715.689999999997</v>
      </c>
      <c r="M254" s="16" t="s">
        <v>572</v>
      </c>
      <c r="P254" s="4" t="s">
        <v>1100</v>
      </c>
      <c r="Q254" s="15"/>
      <c r="S254" s="4">
        <v>-391.5</v>
      </c>
      <c r="T254" t="s">
        <v>1231</v>
      </c>
      <c r="U254" s="43"/>
    </row>
    <row r="255" spans="1:24" x14ac:dyDescent="0.3">
      <c r="B255" s="131" t="s">
        <v>491</v>
      </c>
      <c r="C255" s="4" t="s">
        <v>58</v>
      </c>
      <c r="D255" s="132" t="s">
        <v>9</v>
      </c>
      <c r="E255" s="1" t="s">
        <v>1447</v>
      </c>
      <c r="J255" s="43">
        <v>173.19</v>
      </c>
      <c r="K255" s="43">
        <f t="shared" si="12"/>
        <v>173.19</v>
      </c>
      <c r="L255" s="43">
        <f t="shared" si="10"/>
        <v>11888.879999999997</v>
      </c>
      <c r="M255" s="16" t="s">
        <v>1460</v>
      </c>
      <c r="P255" s="4" t="s">
        <v>1459</v>
      </c>
      <c r="Q255" s="15"/>
      <c r="S255" s="4">
        <v>304.42</v>
      </c>
      <c r="T255" t="s">
        <v>572</v>
      </c>
      <c r="U255" s="43"/>
    </row>
    <row r="256" spans="1:24" x14ac:dyDescent="0.3">
      <c r="A256" s="26"/>
      <c r="B256" s="131" t="s">
        <v>491</v>
      </c>
      <c r="C256" s="4" t="s">
        <v>299</v>
      </c>
      <c r="D256" s="133" t="s">
        <v>301</v>
      </c>
      <c r="E256" s="213"/>
      <c r="F256" s="213"/>
      <c r="G256" s="214"/>
      <c r="H256" s="215"/>
      <c r="I256" s="215"/>
      <c r="J256" s="232">
        <v>-55.15</v>
      </c>
      <c r="K256" s="43">
        <f t="shared" si="12"/>
        <v>-55.15</v>
      </c>
      <c r="L256" s="43">
        <f t="shared" si="10"/>
        <v>11833.729999999998</v>
      </c>
      <c r="M256" s="16" t="s">
        <v>90</v>
      </c>
      <c r="T256"/>
      <c r="U256" s="43">
        <f>SUM(S250:S255)</f>
        <v>-287.08</v>
      </c>
    </row>
    <row r="257" spans="1:23" x14ac:dyDescent="0.3">
      <c r="A257" s="26"/>
      <c r="B257" s="131" t="s">
        <v>491</v>
      </c>
      <c r="C257" s="4" t="s">
        <v>607</v>
      </c>
      <c r="D257" s="133" t="s">
        <v>11</v>
      </c>
      <c r="E257" s="213"/>
      <c r="F257" s="213"/>
      <c r="G257" s="214"/>
      <c r="H257" s="215"/>
      <c r="I257" s="215"/>
      <c r="J257" s="232">
        <v>-46.45</v>
      </c>
      <c r="K257" s="43">
        <f t="shared" si="12"/>
        <v>-46.45</v>
      </c>
      <c r="L257" s="43">
        <f t="shared" si="10"/>
        <v>11787.279999999997</v>
      </c>
      <c r="M257" s="18" t="s">
        <v>90</v>
      </c>
      <c r="P257" s="4" t="s">
        <v>1215</v>
      </c>
      <c r="Q257" s="15"/>
      <c r="U257" s="186">
        <f>U246+U256</f>
        <v>12020.11</v>
      </c>
      <c r="V257" t="s">
        <v>588</v>
      </c>
    </row>
    <row r="258" spans="1:23" x14ac:dyDescent="0.3">
      <c r="A258" s="59"/>
      <c r="B258" s="131" t="s">
        <v>491</v>
      </c>
      <c r="C258" s="214" t="s">
        <v>1109</v>
      </c>
      <c r="D258" s="133" t="s">
        <v>12</v>
      </c>
      <c r="E258" s="213"/>
      <c r="F258" s="215"/>
      <c r="G258" s="214"/>
      <c r="H258" s="215"/>
      <c r="I258" s="215"/>
      <c r="J258" s="232">
        <v>-32.659999999999997</v>
      </c>
      <c r="K258" s="43">
        <f t="shared" si="12"/>
        <v>-32.659999999999997</v>
      </c>
      <c r="L258" s="43">
        <f t="shared" ref="L258:L268" si="13">L257+K258</f>
        <v>11754.619999999997</v>
      </c>
      <c r="M258" s="18" t="s">
        <v>90</v>
      </c>
      <c r="P258" s="244"/>
      <c r="Q258" s="15"/>
      <c r="R258"/>
      <c r="T258"/>
    </row>
    <row r="259" spans="1:23" x14ac:dyDescent="0.3">
      <c r="A259" s="29"/>
      <c r="B259" s="131" t="s">
        <v>491</v>
      </c>
      <c r="C259" s="4" t="s">
        <v>48</v>
      </c>
      <c r="D259" s="133" t="s">
        <v>12</v>
      </c>
      <c r="E259" s="213"/>
      <c r="F259" s="215"/>
      <c r="G259" s="214"/>
      <c r="H259" s="215"/>
      <c r="I259" s="215"/>
      <c r="J259" s="232">
        <v>-87.54</v>
      </c>
      <c r="K259" s="43">
        <f t="shared" si="12"/>
        <v>-87.54</v>
      </c>
      <c r="L259" s="43">
        <f t="shared" si="13"/>
        <v>11667.079999999996</v>
      </c>
      <c r="M259" s="16" t="s">
        <v>90</v>
      </c>
      <c r="W259" s="57"/>
    </row>
    <row r="260" spans="1:23" x14ac:dyDescent="0.3">
      <c r="A260" s="34"/>
      <c r="B260" s="131" t="s">
        <v>491</v>
      </c>
      <c r="C260" s="1" t="s">
        <v>1271</v>
      </c>
      <c r="D260" s="133" t="s">
        <v>12</v>
      </c>
      <c r="E260" s="168" t="s">
        <v>897</v>
      </c>
      <c r="F260" s="27"/>
      <c r="G260" s="33"/>
      <c r="H260" s="42"/>
      <c r="I260" s="42"/>
      <c r="J260" s="42">
        <v>-313.2</v>
      </c>
      <c r="K260" s="43">
        <f t="shared" si="12"/>
        <v>-313.2</v>
      </c>
      <c r="L260" s="43">
        <f t="shared" si="13"/>
        <v>11353.879999999996</v>
      </c>
      <c r="O260" s="30" t="s">
        <v>1414</v>
      </c>
      <c r="P260" s="30"/>
      <c r="Q260" s="30"/>
      <c r="R260"/>
      <c r="S260"/>
      <c r="T260" s="43"/>
      <c r="U260" s="15">
        <v>11191.19</v>
      </c>
    </row>
    <row r="261" spans="1:23" x14ac:dyDescent="0.3">
      <c r="A261" s="29"/>
      <c r="B261" s="131" t="s">
        <v>491</v>
      </c>
      <c r="C261" s="4" t="s">
        <v>1454</v>
      </c>
      <c r="D261" s="112" t="s">
        <v>504</v>
      </c>
      <c r="E261" s="285" t="s">
        <v>170</v>
      </c>
      <c r="F261" s="240"/>
      <c r="G261" s="264" t="s">
        <v>464</v>
      </c>
      <c r="H261" s="240"/>
      <c r="I261" s="240"/>
      <c r="J261" s="236">
        <v>-150</v>
      </c>
      <c r="K261" s="43">
        <f t="shared" si="11"/>
        <v>-150</v>
      </c>
      <c r="L261" s="43">
        <f t="shared" si="13"/>
        <v>11203.879999999996</v>
      </c>
      <c r="M261" s="18" t="s">
        <v>90</v>
      </c>
      <c r="O261"/>
      <c r="P261"/>
      <c r="Q261"/>
      <c r="R261"/>
      <c r="S261"/>
      <c r="T261" s="43"/>
    </row>
    <row r="262" spans="1:23" x14ac:dyDescent="0.3">
      <c r="A262" s="29"/>
      <c r="B262" s="131" t="s">
        <v>491</v>
      </c>
      <c r="C262" s="4" t="s">
        <v>1456</v>
      </c>
      <c r="D262" s="133" t="s">
        <v>12</v>
      </c>
      <c r="E262" s="120"/>
      <c r="F262" s="27"/>
      <c r="G262" s="33"/>
      <c r="H262" s="42"/>
      <c r="I262" s="42"/>
      <c r="J262" s="221">
        <v>-38.4</v>
      </c>
      <c r="K262" s="43">
        <f t="shared" si="11"/>
        <v>-38.4</v>
      </c>
      <c r="L262" s="43">
        <f t="shared" si="13"/>
        <v>11165.479999999996</v>
      </c>
      <c r="M262" s="18" t="s">
        <v>90</v>
      </c>
      <c r="O262" t="s">
        <v>1415</v>
      </c>
      <c r="P262"/>
      <c r="Q262"/>
      <c r="R262"/>
      <c r="S262"/>
      <c r="U262" s="15">
        <v>1</v>
      </c>
    </row>
    <row r="263" spans="1:23" x14ac:dyDescent="0.3">
      <c r="A263" s="12"/>
      <c r="B263" s="131" t="s">
        <v>491</v>
      </c>
      <c r="C263" s="4" t="s">
        <v>1457</v>
      </c>
      <c r="D263" s="133" t="s">
        <v>622</v>
      </c>
      <c r="E263" s="269"/>
      <c r="F263" s="269"/>
      <c r="G263" s="264"/>
      <c r="H263" s="240">
        <v>50</v>
      </c>
      <c r="I263" s="240"/>
      <c r="J263" s="270"/>
      <c r="K263" s="43">
        <f t="shared" ref="K263:K275" si="14">H263+J263</f>
        <v>50</v>
      </c>
      <c r="L263" s="43">
        <f t="shared" si="13"/>
        <v>11215.479999999996</v>
      </c>
      <c r="M263" s="18" t="s">
        <v>90</v>
      </c>
      <c r="N263" s="11"/>
      <c r="O263" t="s">
        <v>586</v>
      </c>
      <c r="P263"/>
      <c r="Q263"/>
    </row>
    <row r="264" spans="1:23" x14ac:dyDescent="0.3">
      <c r="A264" s="12"/>
      <c r="B264" s="131" t="s">
        <v>491</v>
      </c>
      <c r="C264" s="4" t="s">
        <v>58</v>
      </c>
      <c r="D264" s="132" t="s">
        <v>8</v>
      </c>
      <c r="E264" s="269"/>
      <c r="F264" s="269"/>
      <c r="G264" s="264"/>
      <c r="H264" s="240"/>
      <c r="I264" s="240"/>
      <c r="J264" s="270">
        <v>-364.3</v>
      </c>
      <c r="K264" s="43">
        <f t="shared" si="14"/>
        <v>-364.3</v>
      </c>
      <c r="L264" s="75">
        <f t="shared" si="13"/>
        <v>10851.179999999997</v>
      </c>
      <c r="M264" s="18" t="s">
        <v>90</v>
      </c>
      <c r="O264">
        <v>500763</v>
      </c>
      <c r="P264"/>
      <c r="Q264"/>
      <c r="R264" s="4">
        <v>-50</v>
      </c>
      <c r="S264" s="18" t="s">
        <v>1503</v>
      </c>
      <c r="T264" s="43"/>
    </row>
    <row r="265" spans="1:23" x14ac:dyDescent="0.3">
      <c r="A265" s="12"/>
      <c r="B265" s="108"/>
      <c r="C265" s="214"/>
      <c r="D265" s="133"/>
      <c r="E265" s="269"/>
      <c r="F265" s="240"/>
      <c r="G265" s="264"/>
      <c r="H265" s="240"/>
      <c r="I265" s="240"/>
      <c r="J265" s="270"/>
      <c r="K265" s="43">
        <f t="shared" si="14"/>
        <v>0</v>
      </c>
      <c r="L265" s="43">
        <f t="shared" si="13"/>
        <v>10851.179999999997</v>
      </c>
      <c r="O265">
        <v>500790</v>
      </c>
      <c r="P265"/>
      <c r="Q265"/>
      <c r="R265" s="4">
        <v>-50</v>
      </c>
      <c r="S265" s="18" t="s">
        <v>1503</v>
      </c>
      <c r="T265" s="43"/>
    </row>
    <row r="266" spans="1:23" x14ac:dyDescent="0.3">
      <c r="A266" s="28" t="s">
        <v>83</v>
      </c>
      <c r="B266" s="105"/>
      <c r="C266" s="4"/>
      <c r="D266" s="133"/>
      <c r="E266" s="269"/>
      <c r="F266" s="240"/>
      <c r="G266" s="264"/>
      <c r="H266" s="240"/>
      <c r="I266" s="240"/>
      <c r="J266" s="270"/>
      <c r="K266" s="43">
        <f t="shared" si="14"/>
        <v>0</v>
      </c>
      <c r="L266" s="43">
        <f t="shared" si="13"/>
        <v>10851.179999999997</v>
      </c>
      <c r="O266">
        <v>500795</v>
      </c>
      <c r="P266"/>
      <c r="Q266"/>
      <c r="R266" s="4">
        <v>-50</v>
      </c>
      <c r="S266" s="18" t="s">
        <v>1503</v>
      </c>
      <c r="T266" s="43"/>
    </row>
    <row r="267" spans="1:23" x14ac:dyDescent="0.3">
      <c r="A267" s="12"/>
      <c r="B267" s="105" t="s">
        <v>492</v>
      </c>
      <c r="C267" s="4" t="s">
        <v>58</v>
      </c>
      <c r="D267" s="132" t="s">
        <v>9</v>
      </c>
      <c r="E267" s="1" t="s">
        <v>1455</v>
      </c>
      <c r="J267" s="43">
        <v>-173.19</v>
      </c>
      <c r="K267" s="43">
        <f t="shared" si="14"/>
        <v>-173.19</v>
      </c>
      <c r="L267" s="43">
        <f t="shared" si="13"/>
        <v>10677.989999999996</v>
      </c>
      <c r="M267" s="16" t="s">
        <v>1461</v>
      </c>
      <c r="O267">
        <v>500799</v>
      </c>
      <c r="P267"/>
      <c r="Q267"/>
      <c r="R267" s="4">
        <v>-50</v>
      </c>
      <c r="S267" s="18" t="s">
        <v>1503</v>
      </c>
      <c r="T267" s="254"/>
    </row>
    <row r="268" spans="1:23" x14ac:dyDescent="0.3">
      <c r="A268" s="12"/>
      <c r="B268" s="105" t="s">
        <v>492</v>
      </c>
      <c r="C268" s="4" t="s">
        <v>58</v>
      </c>
      <c r="D268" s="132" t="s">
        <v>9</v>
      </c>
      <c r="E268" s="1" t="s">
        <v>1447</v>
      </c>
      <c r="J268" s="301">
        <v>86.76</v>
      </c>
      <c r="K268" s="43">
        <f t="shared" si="14"/>
        <v>86.76</v>
      </c>
      <c r="L268" s="43">
        <f t="shared" si="13"/>
        <v>10764.749999999996</v>
      </c>
      <c r="M268" s="302" t="s">
        <v>1504</v>
      </c>
      <c r="N268" s="303"/>
      <c r="O268" s="4" t="s">
        <v>1100</v>
      </c>
      <c r="Q268" s="15"/>
      <c r="R268" s="4">
        <f>+J260</f>
        <v>-313.2</v>
      </c>
      <c r="S268" t="s">
        <v>1257</v>
      </c>
      <c r="T268" s="43"/>
    </row>
    <row r="269" spans="1:23" x14ac:dyDescent="0.3">
      <c r="B269" s="105" t="s">
        <v>492</v>
      </c>
      <c r="C269" s="4" t="s">
        <v>299</v>
      </c>
      <c r="D269" s="133" t="s">
        <v>301</v>
      </c>
      <c r="E269" s="213"/>
      <c r="F269" s="213"/>
      <c r="G269" s="214"/>
      <c r="H269" s="215"/>
      <c r="I269" s="215"/>
      <c r="J269" s="232">
        <v>-44.94</v>
      </c>
      <c r="K269" s="43">
        <f t="shared" si="14"/>
        <v>-44.94</v>
      </c>
      <c r="L269" s="43">
        <f t="shared" ref="L269:L286" si="15">L268+K269</f>
        <v>10719.809999999996</v>
      </c>
      <c r="M269" s="16" t="s">
        <v>90</v>
      </c>
      <c r="O269" s="4" t="s">
        <v>1459</v>
      </c>
      <c r="Q269" s="15"/>
      <c r="R269" s="4">
        <v>173.19</v>
      </c>
      <c r="S269" t="s">
        <v>572</v>
      </c>
    </row>
    <row r="270" spans="1:23" x14ac:dyDescent="0.3">
      <c r="A270" s="28"/>
      <c r="B270" s="105" t="s">
        <v>492</v>
      </c>
      <c r="C270" s="4" t="s">
        <v>607</v>
      </c>
      <c r="D270" s="133" t="s">
        <v>11</v>
      </c>
      <c r="E270" s="213"/>
      <c r="F270" s="213"/>
      <c r="G270" s="214"/>
      <c r="H270" s="215"/>
      <c r="I270" s="215"/>
      <c r="J270" s="232">
        <v>-46.45</v>
      </c>
      <c r="K270" s="43">
        <f t="shared" si="14"/>
        <v>-46.45</v>
      </c>
      <c r="L270" s="43">
        <f t="shared" si="15"/>
        <v>10673.359999999995</v>
      </c>
      <c r="M270" s="18" t="s">
        <v>90</v>
      </c>
      <c r="O270" s="15"/>
      <c r="P270" s="11"/>
      <c r="Q270" s="15"/>
      <c r="U270" s="11">
        <f>SUM(R264:R269)</f>
        <v>-340.01000000000005</v>
      </c>
    </row>
    <row r="271" spans="1:23" x14ac:dyDescent="0.3">
      <c r="A271" s="12"/>
      <c r="B271" s="105" t="s">
        <v>492</v>
      </c>
      <c r="C271" s="214" t="s">
        <v>1109</v>
      </c>
      <c r="D271" s="133" t="s">
        <v>12</v>
      </c>
      <c r="E271" s="213"/>
      <c r="F271" s="215"/>
      <c r="G271" s="214"/>
      <c r="H271" s="215"/>
      <c r="I271" s="215"/>
      <c r="J271" s="232">
        <v>-32.659999999999997</v>
      </c>
      <c r="K271" s="43">
        <f t="shared" si="14"/>
        <v>-32.659999999999997</v>
      </c>
      <c r="L271" s="43">
        <f t="shared" si="15"/>
        <v>10640.699999999995</v>
      </c>
      <c r="M271" s="16" t="s">
        <v>90</v>
      </c>
      <c r="S271" s="57"/>
    </row>
    <row r="272" spans="1:23" x14ac:dyDescent="0.3">
      <c r="A272" s="12"/>
      <c r="B272" s="105" t="s">
        <v>492</v>
      </c>
      <c r="C272" s="4" t="s">
        <v>48</v>
      </c>
      <c r="D272" s="133" t="s">
        <v>12</v>
      </c>
      <c r="E272" s="213"/>
      <c r="F272" s="215"/>
      <c r="G272" s="214"/>
      <c r="H272" s="215"/>
      <c r="I272" s="215"/>
      <c r="J272" s="232">
        <v>-87.54</v>
      </c>
      <c r="K272" s="43">
        <f t="shared" si="14"/>
        <v>-87.54</v>
      </c>
      <c r="L272" s="43">
        <f t="shared" si="15"/>
        <v>10553.159999999994</v>
      </c>
      <c r="M272" s="16" t="s">
        <v>90</v>
      </c>
      <c r="O272" s="244" t="s">
        <v>1215</v>
      </c>
      <c r="Q272"/>
      <c r="S272"/>
      <c r="T272" s="43"/>
      <c r="U272" s="11">
        <f>U260+U270</f>
        <v>10851.18</v>
      </c>
      <c r="V272" t="s">
        <v>588</v>
      </c>
    </row>
    <row r="273" spans="1:19" x14ac:dyDescent="0.3">
      <c r="A273" s="26"/>
      <c r="B273" s="105" t="s">
        <v>492</v>
      </c>
      <c r="C273" s="1" t="s">
        <v>1271</v>
      </c>
      <c r="D273" s="133" t="s">
        <v>12</v>
      </c>
      <c r="E273" s="168" t="s">
        <v>937</v>
      </c>
      <c r="F273" s="27"/>
      <c r="G273" s="33"/>
      <c r="H273" s="42"/>
      <c r="I273" s="42"/>
      <c r="J273" s="301">
        <v>-261</v>
      </c>
      <c r="K273" s="43">
        <f t="shared" si="14"/>
        <v>-261</v>
      </c>
      <c r="L273" s="43">
        <f t="shared" si="15"/>
        <v>10292.159999999994</v>
      </c>
      <c r="M273" s="302" t="s">
        <v>1504</v>
      </c>
      <c r="N273" s="302"/>
    </row>
    <row r="274" spans="1:19" x14ac:dyDescent="0.3">
      <c r="A274" s="12"/>
      <c r="B274" s="105" t="s">
        <v>492</v>
      </c>
      <c r="C274" s="4" t="s">
        <v>58</v>
      </c>
      <c r="D274" s="132" t="s">
        <v>8</v>
      </c>
      <c r="E274" s="269"/>
      <c r="F274" s="240"/>
      <c r="G274" s="264"/>
      <c r="H274" s="240"/>
      <c r="I274" s="240"/>
      <c r="J274" s="272">
        <v>-370.14</v>
      </c>
      <c r="K274" s="43">
        <f t="shared" si="14"/>
        <v>-370.14</v>
      </c>
      <c r="L274" s="43">
        <f t="shared" si="15"/>
        <v>9922.019999999995</v>
      </c>
      <c r="M274" s="16" t="s">
        <v>90</v>
      </c>
      <c r="N274" s="18"/>
      <c r="S274" s="57"/>
    </row>
    <row r="275" spans="1:19" x14ac:dyDescent="0.3">
      <c r="A275" s="12"/>
      <c r="B275" s="105" t="s">
        <v>492</v>
      </c>
      <c r="C275" s="4" t="s">
        <v>1177</v>
      </c>
      <c r="D275" s="133" t="s">
        <v>622</v>
      </c>
      <c r="E275" s="120"/>
      <c r="F275" s="27"/>
      <c r="G275" s="33"/>
      <c r="H275" s="42">
        <v>300</v>
      </c>
      <c r="I275" s="42"/>
      <c r="J275" s="42"/>
      <c r="K275" s="43">
        <f t="shared" si="14"/>
        <v>300</v>
      </c>
      <c r="L275" s="43">
        <f t="shared" si="15"/>
        <v>10222.019999999995</v>
      </c>
      <c r="M275" s="18" t="s">
        <v>572</v>
      </c>
      <c r="S275" s="57"/>
    </row>
    <row r="276" spans="1:19" x14ac:dyDescent="0.3">
      <c r="B276" s="105" t="s">
        <v>492</v>
      </c>
      <c r="C276" s="4" t="s">
        <v>1177</v>
      </c>
      <c r="D276" s="133" t="s">
        <v>623</v>
      </c>
      <c r="E276" s="269"/>
      <c r="F276" s="269"/>
      <c r="G276" s="264"/>
      <c r="H276" s="240"/>
      <c r="I276" s="240"/>
      <c r="J276" s="270">
        <v>-300</v>
      </c>
      <c r="K276" s="43">
        <f>H276+J276</f>
        <v>-300</v>
      </c>
      <c r="L276" s="43">
        <f t="shared" si="15"/>
        <v>9922.019999999995</v>
      </c>
      <c r="M276" s="16" t="s">
        <v>572</v>
      </c>
      <c r="S276" s="57"/>
    </row>
    <row r="277" spans="1:19" x14ac:dyDescent="0.3">
      <c r="A277" s="12"/>
      <c r="B277" s="105" t="s">
        <v>492</v>
      </c>
      <c r="C277" s="4" t="s">
        <v>141</v>
      </c>
      <c r="D277" s="132" t="s">
        <v>513</v>
      </c>
      <c r="E277" s="269"/>
      <c r="F277" s="269"/>
      <c r="G277" s="264"/>
      <c r="H277" s="240">
        <v>60.24</v>
      </c>
      <c r="I277" s="240"/>
      <c r="J277" s="270"/>
      <c r="K277" s="43">
        <f>H277+J277</f>
        <v>60.24</v>
      </c>
      <c r="L277" s="43">
        <f t="shared" si="15"/>
        <v>9982.2599999999948</v>
      </c>
      <c r="M277" s="16" t="s">
        <v>90</v>
      </c>
      <c r="S277" s="57"/>
    </row>
    <row r="278" spans="1:19" x14ac:dyDescent="0.3">
      <c r="A278" s="12"/>
      <c r="B278" s="105" t="s">
        <v>492</v>
      </c>
      <c r="C278" s="4" t="s">
        <v>1462</v>
      </c>
      <c r="D278" s="133" t="s">
        <v>512</v>
      </c>
      <c r="E278" s="269"/>
      <c r="F278" s="240"/>
      <c r="G278" s="264"/>
      <c r="H278" s="240">
        <v>100</v>
      </c>
      <c r="I278" s="240"/>
      <c r="J278" s="270"/>
      <c r="K278" s="43">
        <f t="shared" ref="K278:K288" si="16">H278+J278</f>
        <v>100</v>
      </c>
      <c r="L278" s="43">
        <f t="shared" si="15"/>
        <v>10082.259999999995</v>
      </c>
      <c r="M278" s="18" t="s">
        <v>412</v>
      </c>
      <c r="S278" s="57"/>
    </row>
    <row r="279" spans="1:19" x14ac:dyDescent="0.3">
      <c r="A279" s="29"/>
      <c r="B279" s="105" t="s">
        <v>492</v>
      </c>
      <c r="C279" s="4" t="s">
        <v>1462</v>
      </c>
      <c r="D279" s="133" t="s">
        <v>622</v>
      </c>
      <c r="E279" s="269"/>
      <c r="F279" s="240"/>
      <c r="G279" s="264"/>
      <c r="H279" s="240">
        <v>30</v>
      </c>
      <c r="I279" s="240"/>
      <c r="J279" s="271"/>
      <c r="K279" s="43">
        <f t="shared" si="16"/>
        <v>30</v>
      </c>
      <c r="L279" s="43">
        <f t="shared" si="15"/>
        <v>10112.259999999995</v>
      </c>
      <c r="M279" s="18" t="s">
        <v>412</v>
      </c>
      <c r="S279" s="57"/>
    </row>
    <row r="280" spans="1:19" x14ac:dyDescent="0.3">
      <c r="B280" s="105" t="s">
        <v>492</v>
      </c>
      <c r="C280" s="4" t="s">
        <v>1462</v>
      </c>
      <c r="D280" s="133" t="s">
        <v>512</v>
      </c>
      <c r="E280" s="269"/>
      <c r="F280" s="240"/>
      <c r="G280" s="264"/>
      <c r="H280" s="240">
        <v>30</v>
      </c>
      <c r="I280" s="240"/>
      <c r="J280" s="272"/>
      <c r="K280" s="43">
        <f t="shared" si="16"/>
        <v>30</v>
      </c>
      <c r="L280" s="43">
        <f t="shared" si="15"/>
        <v>10142.259999999995</v>
      </c>
      <c r="M280" s="18" t="s">
        <v>90</v>
      </c>
      <c r="S280" s="57"/>
    </row>
    <row r="281" spans="1:19" x14ac:dyDescent="0.3">
      <c r="A281" s="12"/>
      <c r="B281" s="105" t="s">
        <v>492</v>
      </c>
      <c r="C281" s="4" t="s">
        <v>97</v>
      </c>
      <c r="D281" s="133" t="s">
        <v>10</v>
      </c>
      <c r="E281" s="120" t="s">
        <v>1470</v>
      </c>
      <c r="F281" s="27"/>
      <c r="G281" s="33"/>
      <c r="H281" s="42"/>
      <c r="I281" s="42"/>
      <c r="J281" s="301">
        <v>-1440</v>
      </c>
      <c r="K281" s="43">
        <f t="shared" si="16"/>
        <v>-1440</v>
      </c>
      <c r="L281" s="43">
        <f t="shared" si="15"/>
        <v>8702.2599999999948</v>
      </c>
      <c r="M281" s="302" t="s">
        <v>1504</v>
      </c>
      <c r="N281" s="304"/>
      <c r="O281" s="11"/>
      <c r="P281" s="13"/>
      <c r="S281" s="57"/>
    </row>
    <row r="282" spans="1:19" x14ac:dyDescent="0.3">
      <c r="A282" s="12"/>
      <c r="B282" s="105" t="s">
        <v>492</v>
      </c>
      <c r="C282" s="4" t="s">
        <v>982</v>
      </c>
      <c r="D282" s="133" t="s">
        <v>512</v>
      </c>
      <c r="E282" s="120" t="s">
        <v>1499</v>
      </c>
      <c r="F282" s="27"/>
      <c r="G282" s="33"/>
      <c r="H282" s="42">
        <v>50</v>
      </c>
      <c r="I282" s="42"/>
      <c r="J282" s="42"/>
      <c r="K282" s="43">
        <f t="shared" si="16"/>
        <v>50</v>
      </c>
      <c r="L282" s="43">
        <f t="shared" si="15"/>
        <v>8752.2599999999948</v>
      </c>
      <c r="M282" s="18" t="s">
        <v>1506</v>
      </c>
      <c r="S282" s="57"/>
    </row>
    <row r="283" spans="1:19" x14ac:dyDescent="0.3">
      <c r="A283" s="12"/>
      <c r="B283" s="105" t="s">
        <v>492</v>
      </c>
      <c r="C283" s="4" t="s">
        <v>1196</v>
      </c>
      <c r="D283" s="133" t="s">
        <v>512</v>
      </c>
      <c r="E283" s="120" t="s">
        <v>1500</v>
      </c>
      <c r="F283" s="52"/>
      <c r="G283" s="33"/>
      <c r="H283" s="42">
        <v>50</v>
      </c>
      <c r="I283" s="42"/>
      <c r="J283" s="42"/>
      <c r="K283" s="43">
        <f t="shared" si="16"/>
        <v>50</v>
      </c>
      <c r="L283" s="43">
        <f t="shared" si="15"/>
        <v>8802.2599999999948</v>
      </c>
      <c r="M283" s="18" t="s">
        <v>1506</v>
      </c>
      <c r="S283" s="57"/>
    </row>
    <row r="284" spans="1:19" x14ac:dyDescent="0.3">
      <c r="A284" s="12"/>
      <c r="B284" s="105" t="s">
        <v>492</v>
      </c>
      <c r="C284" s="4" t="s">
        <v>1235</v>
      </c>
      <c r="D284" s="133" t="s">
        <v>512</v>
      </c>
      <c r="E284" s="120" t="s">
        <v>1501</v>
      </c>
      <c r="F284" s="27"/>
      <c r="G284" s="120"/>
      <c r="H284" s="42">
        <v>50</v>
      </c>
      <c r="I284" s="42"/>
      <c r="J284" s="42"/>
      <c r="K284" s="43">
        <f t="shared" si="16"/>
        <v>50</v>
      </c>
      <c r="L284" s="43">
        <f t="shared" si="15"/>
        <v>8852.2599999999948</v>
      </c>
      <c r="M284" s="18" t="s">
        <v>1506</v>
      </c>
      <c r="S284" s="57"/>
    </row>
    <row r="285" spans="1:19" x14ac:dyDescent="0.3">
      <c r="A285" s="12"/>
      <c r="B285" s="105" t="s">
        <v>492</v>
      </c>
      <c r="C285" s="4" t="s">
        <v>1249</v>
      </c>
      <c r="D285" s="133" t="s">
        <v>512</v>
      </c>
      <c r="E285" s="168" t="s">
        <v>1502</v>
      </c>
      <c r="F285" s="27"/>
      <c r="G285" s="120"/>
      <c r="H285" s="42">
        <v>50</v>
      </c>
      <c r="I285" s="42"/>
      <c r="J285" s="42"/>
      <c r="K285" s="43">
        <f t="shared" si="16"/>
        <v>50</v>
      </c>
      <c r="L285" s="43">
        <f t="shared" si="15"/>
        <v>8902.2599999999948</v>
      </c>
      <c r="M285" s="18" t="s">
        <v>1506</v>
      </c>
      <c r="N285" s="57"/>
      <c r="S285" s="57"/>
    </row>
    <row r="286" spans="1:19" x14ac:dyDescent="0.3">
      <c r="A286" s="12"/>
      <c r="B286" s="29"/>
      <c r="C286" s="11"/>
      <c r="D286" s="11"/>
      <c r="E286" s="33"/>
      <c r="F286" s="27"/>
      <c r="G286" s="33"/>
      <c r="H286" s="42"/>
      <c r="I286" s="42"/>
      <c r="J286" s="42"/>
      <c r="K286" s="43">
        <f t="shared" si="16"/>
        <v>0</v>
      </c>
      <c r="L286" s="75">
        <f t="shared" si="15"/>
        <v>8902.2599999999948</v>
      </c>
    </row>
    <row r="287" spans="1:19" ht="13.5" thickBot="1" x14ac:dyDescent="0.35">
      <c r="A287" s="12"/>
      <c r="B287" s="29"/>
      <c r="C287" s="11"/>
      <c r="D287" s="27"/>
      <c r="E287" s="33"/>
      <c r="F287" s="27"/>
      <c r="G287" s="33">
        <f>+L48</f>
        <v>0</v>
      </c>
      <c r="H287" s="173"/>
      <c r="I287" s="173">
        <f>SUM(I1:I286)</f>
        <v>0</v>
      </c>
      <c r="J287" s="173">
        <v>-46627.639999999992</v>
      </c>
      <c r="K287" s="43">
        <f t="shared" si="16"/>
        <v>-46627.639999999992</v>
      </c>
    </row>
    <row r="288" spans="1:19" ht="13.5" thickTop="1" x14ac:dyDescent="0.3">
      <c r="B288" s="59"/>
      <c r="C288" s="11"/>
      <c r="D288" s="27"/>
      <c r="E288" s="33"/>
      <c r="F288" s="52"/>
      <c r="G288" s="33"/>
      <c r="H288" s="42"/>
      <c r="I288" s="42"/>
      <c r="J288" s="42"/>
      <c r="K288" s="43">
        <f t="shared" si="16"/>
        <v>0</v>
      </c>
    </row>
    <row r="289" spans="1:13" x14ac:dyDescent="0.3">
      <c r="B289" s="255"/>
      <c r="C289" s="11"/>
      <c r="D289" s="27"/>
      <c r="E289" s="300" t="s">
        <v>1416</v>
      </c>
      <c r="F289" s="27"/>
      <c r="G289" s="33"/>
      <c r="H289" s="42"/>
      <c r="I289" s="42"/>
      <c r="J289" s="42"/>
    </row>
    <row r="290" spans="1:13" x14ac:dyDescent="0.3">
      <c r="A290" s="24"/>
      <c r="B290" s="255"/>
      <c r="C290" s="11"/>
      <c r="D290" s="27"/>
      <c r="E290" s="33"/>
      <c r="F290" s="27"/>
      <c r="G290" s="33"/>
      <c r="H290" s="42"/>
      <c r="I290" s="42"/>
      <c r="J290" s="42"/>
    </row>
    <row r="291" spans="1:13" x14ac:dyDescent="0.3">
      <c r="A291" s="12"/>
      <c r="B291" s="29"/>
      <c r="C291" s="11" t="s">
        <v>110</v>
      </c>
      <c r="D291" s="27"/>
      <c r="E291" s="33"/>
      <c r="F291" s="27"/>
      <c r="G291" s="33"/>
      <c r="H291" s="42"/>
      <c r="I291" s="42"/>
      <c r="J291" s="42"/>
      <c r="L291" s="43">
        <f>10255.5+261</f>
        <v>10516.5</v>
      </c>
    </row>
    <row r="292" spans="1:13" x14ac:dyDescent="0.3">
      <c r="A292" s="12"/>
      <c r="B292" s="29"/>
      <c r="C292" s="11"/>
      <c r="D292" s="27"/>
      <c r="F292" s="11"/>
    </row>
    <row r="293" spans="1:13" x14ac:dyDescent="0.3">
      <c r="A293" s="12"/>
      <c r="B293" s="29"/>
      <c r="C293" s="4" t="s">
        <v>1284</v>
      </c>
      <c r="D293" s="27"/>
      <c r="F293" s="11"/>
    </row>
    <row r="294" spans="1:13" x14ac:dyDescent="0.3">
      <c r="A294" s="12"/>
      <c r="B294" s="29"/>
      <c r="C294" s="4"/>
      <c r="D294" s="27"/>
      <c r="F294" s="11"/>
    </row>
    <row r="295" spans="1:13" x14ac:dyDescent="0.3">
      <c r="A295" s="12"/>
      <c r="B295" s="29"/>
      <c r="C295" s="4" t="s">
        <v>1100</v>
      </c>
      <c r="D295" s="15"/>
      <c r="E295" s="4">
        <v>-261</v>
      </c>
      <c r="F295"/>
      <c r="G295" s="305" t="s">
        <v>1507</v>
      </c>
      <c r="H295"/>
    </row>
    <row r="296" spans="1:13" x14ac:dyDescent="0.3">
      <c r="A296" s="12"/>
      <c r="B296" s="284"/>
      <c r="C296" s="4" t="s">
        <v>1459</v>
      </c>
      <c r="D296" s="15"/>
      <c r="E296" s="4">
        <v>86.76</v>
      </c>
      <c r="F296"/>
      <c r="G296" t="s">
        <v>1508</v>
      </c>
      <c r="H296"/>
      <c r="I296" s="254"/>
    </row>
    <row r="297" spans="1:13" x14ac:dyDescent="0.3">
      <c r="A297" s="12"/>
      <c r="B297" s="284"/>
      <c r="C297" s="4" t="s">
        <v>97</v>
      </c>
      <c r="D297" s="244"/>
      <c r="E297" s="4">
        <v>-1440</v>
      </c>
      <c r="F297"/>
      <c r="G297" t="s">
        <v>1509</v>
      </c>
      <c r="H297"/>
      <c r="M297" s="64"/>
    </row>
    <row r="298" spans="1:13" x14ac:dyDescent="0.3">
      <c r="A298" s="12"/>
      <c r="B298" s="284"/>
      <c r="C298" s="4"/>
      <c r="D298" s="244"/>
      <c r="E298" s="15"/>
      <c r="F298"/>
      <c r="G298" s="15"/>
      <c r="H298"/>
      <c r="L298" s="43">
        <f>SUM(E295:E2998)</f>
        <v>-1614.24</v>
      </c>
    </row>
    <row r="299" spans="1:13" ht="13.5" thickBot="1" x14ac:dyDescent="0.35">
      <c r="A299" s="12"/>
      <c r="B299" s="29"/>
      <c r="C299" s="11"/>
      <c r="D299" s="52"/>
    </row>
    <row r="300" spans="1:13" ht="17.25" customHeight="1" thickBot="1" x14ac:dyDescent="0.35">
      <c r="A300" s="12"/>
      <c r="B300" s="29"/>
      <c r="C300" s="74" t="s">
        <v>1270</v>
      </c>
      <c r="D300" s="27"/>
      <c r="F300" s="11"/>
      <c r="L300" s="256">
        <f>SUM(L291:L299)</f>
        <v>8902.26</v>
      </c>
      <c r="M300" s="18" t="s">
        <v>1505</v>
      </c>
    </row>
    <row r="301" spans="1:13" ht="13.5" thickTop="1" x14ac:dyDescent="0.3">
      <c r="A301" s="12"/>
      <c r="B301" s="29"/>
      <c r="C301" s="11"/>
      <c r="D301" s="27"/>
      <c r="F301" s="11"/>
    </row>
    <row r="302" spans="1:13" x14ac:dyDescent="0.3">
      <c r="A302" s="12"/>
      <c r="B302" s="29"/>
      <c r="C302" s="11"/>
      <c r="D302" s="27"/>
      <c r="F302" s="11"/>
    </row>
    <row r="303" spans="1:13" x14ac:dyDescent="0.3">
      <c r="A303" s="12"/>
      <c r="B303" s="257"/>
      <c r="C303" s="11"/>
      <c r="D303" s="3"/>
      <c r="E303" s="306" t="s">
        <v>1417</v>
      </c>
      <c r="F303" s="4"/>
      <c r="G303" s="179"/>
      <c r="H303" s="1"/>
      <c r="I303" s="4"/>
      <c r="J303" s="1"/>
      <c r="K303" s="125"/>
      <c r="L303" s="125"/>
    </row>
    <row r="304" spans="1:13" x14ac:dyDescent="0.3">
      <c r="B304" s="59"/>
      <c r="D304" s="174"/>
      <c r="E304" s="175"/>
      <c r="F304"/>
      <c r="G304" s="181"/>
      <c r="H304" s="1"/>
      <c r="I304"/>
      <c r="J304" s="1"/>
      <c r="K304" s="125"/>
      <c r="L304" s="125"/>
    </row>
    <row r="305" spans="1:25" s="43" customFormat="1" x14ac:dyDescent="0.3">
      <c r="A305" s="39"/>
      <c r="B305" s="283"/>
      <c r="C305" s="128"/>
      <c r="D305" s="289"/>
      <c r="E305" s="179"/>
      <c r="F305" s="181"/>
      <c r="G305" s="179"/>
      <c r="H305" s="181"/>
      <c r="I305" s="193"/>
      <c r="J305" s="179"/>
      <c r="K305" s="193"/>
      <c r="L305" s="200"/>
      <c r="M305" s="18"/>
      <c r="N305" s="15"/>
      <c r="O305" s="16"/>
      <c r="P305" s="15"/>
      <c r="Q305" s="11"/>
      <c r="R305" s="15"/>
      <c r="S305" s="15"/>
      <c r="T305" s="15"/>
      <c r="U305" s="15"/>
      <c r="V305" s="15"/>
      <c r="W305" s="15"/>
      <c r="X305" s="15"/>
      <c r="Y305" s="15"/>
    </row>
    <row r="306" spans="1:25" s="43" customFormat="1" x14ac:dyDescent="0.3">
      <c r="A306" s="39"/>
      <c r="B306" s="283"/>
      <c r="C306" s="128"/>
      <c r="D306" s="180"/>
      <c r="E306" s="179"/>
      <c r="F306" s="181"/>
      <c r="G306" s="179"/>
      <c r="H306" s="181"/>
      <c r="I306" s="193"/>
      <c r="J306" s="181"/>
      <c r="K306" s="193"/>
      <c r="L306" s="200"/>
      <c r="M306" s="18"/>
      <c r="N306" s="15"/>
      <c r="O306" s="16"/>
      <c r="P306" s="15"/>
      <c r="Q306" s="11"/>
      <c r="R306" s="15"/>
      <c r="S306" s="15"/>
      <c r="T306" s="15"/>
      <c r="U306" s="15"/>
      <c r="V306" s="15"/>
      <c r="W306" s="15"/>
      <c r="X306" s="15"/>
      <c r="Y306" s="15"/>
    </row>
    <row r="307" spans="1:25" s="43" customFormat="1" x14ac:dyDescent="0.3">
      <c r="A307" s="39"/>
      <c r="B307" s="29"/>
      <c r="C307" s="128"/>
      <c r="D307" s="187" t="s">
        <v>1463</v>
      </c>
      <c r="E307" s="4" t="s">
        <v>1386</v>
      </c>
      <c r="F307"/>
      <c r="G307" s="133" t="s">
        <v>500</v>
      </c>
      <c r="H307" s="133"/>
      <c r="I307" s="191" t="s">
        <v>1280</v>
      </c>
      <c r="J307" s="181"/>
      <c r="K307" s="207" t="s">
        <v>324</v>
      </c>
      <c r="L307" s="192">
        <v>50</v>
      </c>
      <c r="M307" s="18"/>
      <c r="N307" s="15"/>
      <c r="O307" s="16"/>
      <c r="P307" s="15"/>
      <c r="Q307" s="11"/>
      <c r="R307" s="15"/>
      <c r="S307" s="15"/>
      <c r="T307" s="15"/>
      <c r="U307" s="15"/>
      <c r="V307" s="15"/>
      <c r="W307" s="15"/>
      <c r="X307" s="15"/>
      <c r="Y307" s="15"/>
    </row>
    <row r="308" spans="1:25" s="43" customFormat="1" x14ac:dyDescent="0.3">
      <c r="A308" s="39"/>
      <c r="B308" s="284"/>
      <c r="C308" s="128"/>
      <c r="D308" s="187" t="s">
        <v>1464</v>
      </c>
      <c r="E308" s="4" t="s">
        <v>1437</v>
      </c>
      <c r="F308" s="4"/>
      <c r="G308" s="133" t="s">
        <v>500</v>
      </c>
      <c r="H308" s="133"/>
      <c r="I308" s="191" t="s">
        <v>1280</v>
      </c>
      <c r="J308" s="179"/>
      <c r="K308" s="207" t="s">
        <v>324</v>
      </c>
      <c r="L308" s="192">
        <v>70</v>
      </c>
      <c r="M308" s="18"/>
      <c r="N308" s="15"/>
      <c r="O308" s="16"/>
      <c r="P308" s="15"/>
      <c r="Q308" s="11"/>
      <c r="R308" s="15"/>
      <c r="S308" s="15"/>
      <c r="T308" s="15"/>
      <c r="U308" s="15"/>
      <c r="V308" s="15"/>
      <c r="W308" s="15"/>
      <c r="X308" s="15"/>
      <c r="Y308" s="15"/>
    </row>
    <row r="309" spans="1:25" s="43" customFormat="1" x14ac:dyDescent="0.3">
      <c r="A309" s="39"/>
      <c r="B309" s="284"/>
      <c r="C309" s="128"/>
      <c r="D309" s="187" t="s">
        <v>1465</v>
      </c>
      <c r="E309" s="4" t="s">
        <v>1365</v>
      </c>
      <c r="F309"/>
      <c r="G309" s="290" t="s">
        <v>500</v>
      </c>
      <c r="H309" s="291"/>
      <c r="I309" s="191" t="s">
        <v>274</v>
      </c>
      <c r="J309"/>
      <c r="K309" s="207" t="s">
        <v>324</v>
      </c>
      <c r="L309" s="192">
        <v>50</v>
      </c>
      <c r="M309" s="18"/>
      <c r="N309" s="15"/>
      <c r="O309" s="16"/>
      <c r="P309" s="15"/>
      <c r="Q309" s="11"/>
      <c r="R309" s="15"/>
      <c r="S309" s="15"/>
      <c r="T309" s="15"/>
      <c r="U309" s="15"/>
      <c r="V309" s="15"/>
      <c r="W309" s="15"/>
      <c r="X309" s="15"/>
      <c r="Y309" s="15"/>
    </row>
    <row r="310" spans="1:25" s="43" customFormat="1" x14ac:dyDescent="0.3">
      <c r="A310" s="39"/>
      <c r="B310" s="29"/>
      <c r="C310" s="128"/>
      <c r="D310" s="187" t="s">
        <v>1466</v>
      </c>
      <c r="E310" s="4" t="s">
        <v>1510</v>
      </c>
      <c r="F310"/>
      <c r="G310" s="133" t="s">
        <v>500</v>
      </c>
      <c r="H310" s="133"/>
      <c r="I310" s="191" t="s">
        <v>1430</v>
      </c>
      <c r="J310" s="181"/>
      <c r="K310" s="207" t="s">
        <v>324</v>
      </c>
      <c r="L310" s="192">
        <v>150</v>
      </c>
      <c r="M310" s="18"/>
      <c r="N310" s="15"/>
      <c r="O310" s="16"/>
      <c r="P310" s="15"/>
      <c r="Q310" s="11"/>
      <c r="R310" s="15"/>
      <c r="S310" s="15"/>
      <c r="T310" s="15"/>
      <c r="U310" s="15"/>
      <c r="V310" s="15"/>
      <c r="W310" s="15"/>
      <c r="X310" s="15"/>
      <c r="Y310" s="15"/>
    </row>
    <row r="311" spans="1:25" s="43" customFormat="1" x14ac:dyDescent="0.3">
      <c r="A311" s="39"/>
      <c r="B311" s="29"/>
      <c r="C311" s="128"/>
      <c r="D311"/>
      <c r="E311"/>
      <c r="F311"/>
      <c r="G311"/>
      <c r="H311"/>
      <c r="I311"/>
      <c r="J311"/>
      <c r="K311"/>
      <c r="L311"/>
      <c r="M311" s="18"/>
      <c r="N311" s="15"/>
      <c r="O311" s="16"/>
      <c r="P311" s="15"/>
      <c r="Q311" s="11"/>
      <c r="R311" s="15"/>
      <c r="S311" s="15"/>
      <c r="T311" s="15"/>
      <c r="U311" s="15"/>
      <c r="V311" s="15"/>
      <c r="W311" s="15"/>
      <c r="X311" s="15"/>
      <c r="Y311" s="15"/>
    </row>
    <row r="312" spans="1:25" s="43" customFormat="1" x14ac:dyDescent="0.3">
      <c r="A312" s="39"/>
      <c r="B312" s="257"/>
      <c r="C312" s="4"/>
      <c r="D312" s="180"/>
      <c r="E312" s="179"/>
      <c r="F312" s="181"/>
      <c r="G312" s="179"/>
      <c r="H312" s="181"/>
      <c r="I312" s="193"/>
      <c r="J312" s="181"/>
      <c r="K312" s="193"/>
      <c r="L312" s="200"/>
      <c r="M312" s="18"/>
      <c r="N312" s="15"/>
      <c r="O312" s="16"/>
      <c r="P312" s="15"/>
      <c r="Q312" s="11"/>
      <c r="R312" s="15"/>
      <c r="S312" s="15"/>
      <c r="T312" s="15"/>
      <c r="U312" s="15"/>
      <c r="V312" s="15"/>
      <c r="W312" s="15"/>
      <c r="X312" s="15"/>
      <c r="Y312" s="15"/>
    </row>
    <row r="313" spans="1:25" s="43" customFormat="1" x14ac:dyDescent="0.3">
      <c r="A313" s="39"/>
      <c r="B313" s="59"/>
      <c r="C313" s="15"/>
      <c r="D313" s="174"/>
      <c r="E313" s="175"/>
      <c r="F313"/>
      <c r="G313" s="292" t="s">
        <v>1274</v>
      </c>
      <c r="H313"/>
      <c r="I313" s="1"/>
      <c r="J313"/>
      <c r="K313" s="1"/>
      <c r="L313" s="186">
        <v>320</v>
      </c>
      <c r="M313" s="18"/>
      <c r="N313" s="15"/>
      <c r="O313" s="16"/>
      <c r="P313" s="15"/>
      <c r="Q313" s="11"/>
      <c r="R313" s="15"/>
      <c r="S313" s="15"/>
      <c r="T313" s="15"/>
      <c r="U313" s="15"/>
      <c r="V313" s="15"/>
      <c r="W313" s="15"/>
      <c r="X313" s="15"/>
      <c r="Y313" s="15"/>
    </row>
    <row r="314" spans="1:25" s="43" customFormat="1" x14ac:dyDescent="0.3">
      <c r="A314" s="39"/>
      <c r="B314" s="59"/>
      <c r="C314" s="15"/>
      <c r="D314" s="52"/>
      <c r="E314" s="13"/>
      <c r="F314" s="15"/>
      <c r="G314" s="13"/>
      <c r="M314" s="18"/>
      <c r="N314" s="15"/>
      <c r="O314" s="16"/>
      <c r="P314" s="15"/>
      <c r="Q314" s="11"/>
      <c r="R314" s="15"/>
      <c r="S314" s="15"/>
      <c r="T314" s="15"/>
      <c r="U314" s="15"/>
      <c r="V314" s="15"/>
      <c r="W314" s="15"/>
      <c r="X314" s="15"/>
      <c r="Y314" s="15"/>
    </row>
    <row r="315" spans="1:25" s="43" customFormat="1" x14ac:dyDescent="0.3">
      <c r="A315" s="39"/>
      <c r="B315" s="59"/>
      <c r="C315" s="15"/>
      <c r="D315" s="52"/>
      <c r="E315" s="13"/>
      <c r="F315" s="15"/>
      <c r="G315" s="13"/>
      <c r="M315" s="18"/>
      <c r="N315" s="15"/>
      <c r="O315" s="16"/>
      <c r="P315" s="15"/>
      <c r="Q315" s="11"/>
      <c r="R315" s="15"/>
      <c r="S315" s="15"/>
      <c r="T315" s="15"/>
      <c r="U315" s="15"/>
      <c r="V315" s="15"/>
      <c r="W315" s="15"/>
      <c r="X315" s="15"/>
      <c r="Y315" s="15"/>
    </row>
    <row r="316" spans="1:25" s="43" customFormat="1" x14ac:dyDescent="0.3">
      <c r="A316" s="39"/>
      <c r="B316" s="59"/>
      <c r="C316" s="15"/>
      <c r="D316" s="52"/>
      <c r="E316" s="13"/>
      <c r="F316" s="15"/>
      <c r="G316" s="13"/>
      <c r="M316" s="18"/>
      <c r="N316" s="15"/>
      <c r="O316" s="16"/>
      <c r="P316" s="15"/>
      <c r="Q316" s="11"/>
      <c r="R316" s="15"/>
      <c r="S316" s="15"/>
      <c r="T316" s="15"/>
      <c r="U316" s="15"/>
      <c r="V316" s="15"/>
      <c r="W316" s="15"/>
      <c r="X316" s="15"/>
      <c r="Y316" s="15"/>
    </row>
    <row r="317" spans="1:25" s="43" customFormat="1" x14ac:dyDescent="0.3">
      <c r="A317" s="39"/>
      <c r="B317" s="59"/>
      <c r="C317" s="15"/>
      <c r="D317" s="52"/>
      <c r="E317" s="13"/>
      <c r="F317" s="15"/>
      <c r="G317" s="13"/>
      <c r="M317" s="18"/>
      <c r="N317" s="15"/>
      <c r="O317" s="16"/>
      <c r="P317" s="15"/>
      <c r="Q317" s="11"/>
      <c r="R317" s="15"/>
      <c r="S317" s="15"/>
      <c r="T317" s="15"/>
      <c r="U317" s="15"/>
      <c r="V317" s="15"/>
      <c r="W317" s="15"/>
      <c r="X317" s="15"/>
      <c r="Y317" s="15"/>
    </row>
    <row r="318" spans="1:25" s="43" customFormat="1" x14ac:dyDescent="0.3">
      <c r="A318" s="39"/>
      <c r="B318" s="59"/>
      <c r="C318" s="15"/>
      <c r="D318" s="52"/>
      <c r="E318" s="13"/>
      <c r="F318" s="15"/>
      <c r="G318" s="13"/>
      <c r="M318" s="18"/>
      <c r="N318" s="15"/>
      <c r="O318" s="16"/>
      <c r="P318" s="15"/>
      <c r="Q318" s="11"/>
      <c r="R318" s="15"/>
      <c r="S318" s="15"/>
      <c r="T318" s="15"/>
      <c r="U318" s="15"/>
      <c r="V318" s="15"/>
      <c r="W318" s="15"/>
      <c r="X318" s="15"/>
      <c r="Y318" s="15"/>
    </row>
    <row r="319" spans="1:25" s="13" customFormat="1" x14ac:dyDescent="0.3">
      <c r="A319" s="39"/>
      <c r="B319" s="59"/>
      <c r="C319" s="15"/>
      <c r="D319" s="52"/>
      <c r="F319" s="15"/>
      <c r="H319" s="43"/>
      <c r="I319" s="43"/>
      <c r="J319" s="43"/>
      <c r="K319" s="43"/>
      <c r="L319" s="43"/>
      <c r="M319" s="18"/>
      <c r="N319" s="15"/>
      <c r="O319" s="16"/>
      <c r="P319" s="15"/>
      <c r="Q319" s="11"/>
      <c r="R319" s="15"/>
      <c r="S319" s="15"/>
      <c r="T319" s="15"/>
      <c r="U319" s="15"/>
      <c r="V319" s="15"/>
      <c r="W319" s="15"/>
      <c r="X319" s="15"/>
      <c r="Y319" s="15"/>
    </row>
    <row r="320" spans="1:25" s="13" customFormat="1" x14ac:dyDescent="0.3">
      <c r="A320" s="39"/>
      <c r="B320" s="59"/>
      <c r="C320" s="15"/>
      <c r="D320" s="52"/>
      <c r="F320" s="15"/>
      <c r="H320" s="43"/>
      <c r="I320" s="43"/>
      <c r="J320" s="43"/>
      <c r="K320" s="43"/>
      <c r="L320" s="43"/>
      <c r="M320" s="18"/>
      <c r="N320" s="15"/>
      <c r="O320" s="16"/>
      <c r="P320" s="15"/>
      <c r="Q320" s="11"/>
      <c r="R320" s="15"/>
      <c r="S320" s="15"/>
      <c r="T320" s="15"/>
      <c r="U320" s="15"/>
      <c r="V320" s="15"/>
      <c r="W320" s="15"/>
      <c r="X320" s="15"/>
      <c r="Y320" s="15"/>
    </row>
    <row r="321" spans="1:25" s="13" customFormat="1" x14ac:dyDescent="0.3">
      <c r="A321" s="39"/>
      <c r="B321" s="59"/>
      <c r="C321" s="15"/>
      <c r="D321" s="52"/>
      <c r="F321" s="15"/>
      <c r="H321" s="43"/>
      <c r="I321" s="43"/>
      <c r="J321" s="43"/>
      <c r="K321" s="43"/>
      <c r="L321" s="43"/>
      <c r="M321" s="18"/>
      <c r="N321" s="15"/>
      <c r="O321" s="16"/>
      <c r="P321" s="15"/>
      <c r="Q321" s="11"/>
      <c r="R321" s="15"/>
      <c r="S321" s="15"/>
      <c r="T321" s="15"/>
      <c r="U321" s="15"/>
      <c r="V321" s="15"/>
      <c r="W321" s="15"/>
      <c r="X321" s="15"/>
      <c r="Y321" s="15"/>
    </row>
    <row r="322" spans="1:25" s="13" customFormat="1" x14ac:dyDescent="0.3">
      <c r="A322" s="39"/>
      <c r="B322" s="59"/>
      <c r="C322" s="15"/>
      <c r="D322" s="52"/>
      <c r="F322" s="15"/>
      <c r="H322" s="43"/>
      <c r="I322" s="43"/>
      <c r="J322" s="43"/>
      <c r="K322" s="43"/>
      <c r="L322" s="43"/>
      <c r="M322" s="18"/>
      <c r="N322" s="15"/>
      <c r="O322" s="16"/>
      <c r="P322" s="15"/>
      <c r="Q322" s="11"/>
      <c r="R322" s="15"/>
      <c r="S322" s="15"/>
      <c r="T322" s="15"/>
      <c r="U322" s="15"/>
      <c r="V322" s="15"/>
      <c r="W322" s="15"/>
      <c r="X322" s="15"/>
      <c r="Y322" s="15"/>
    </row>
    <row r="323" spans="1:25" s="13" customFormat="1" x14ac:dyDescent="0.3">
      <c r="A323" s="39"/>
      <c r="B323" s="59"/>
      <c r="C323" s="15"/>
      <c r="D323" s="52"/>
      <c r="F323" s="15"/>
      <c r="H323" s="43"/>
      <c r="I323" s="43"/>
      <c r="J323" s="43"/>
      <c r="K323" s="43"/>
      <c r="L323" s="43"/>
      <c r="M323" s="18"/>
      <c r="N323" s="15"/>
      <c r="O323" s="16"/>
      <c r="P323" s="15"/>
      <c r="Q323" s="11"/>
      <c r="R323" s="15"/>
      <c r="S323" s="15"/>
      <c r="T323" s="15"/>
      <c r="U323" s="15"/>
      <c r="V323" s="15"/>
      <c r="W323" s="15"/>
      <c r="X323" s="15"/>
      <c r="Y323" s="15"/>
    </row>
    <row r="324" spans="1:25" s="13" customFormat="1" x14ac:dyDescent="0.3">
      <c r="A324" s="39"/>
      <c r="B324" s="59"/>
      <c r="C324" s="15"/>
      <c r="D324" s="52"/>
      <c r="F324" s="15"/>
      <c r="H324" s="43"/>
      <c r="I324" s="43"/>
      <c r="J324" s="43"/>
      <c r="K324" s="43"/>
      <c r="L324" s="43"/>
      <c r="M324" s="18"/>
      <c r="N324" s="15"/>
      <c r="O324" s="16"/>
      <c r="P324" s="15"/>
      <c r="Q324" s="11"/>
      <c r="R324" s="15"/>
      <c r="S324" s="15"/>
      <c r="T324" s="15"/>
      <c r="U324" s="15"/>
      <c r="V324" s="15"/>
      <c r="W324" s="15"/>
      <c r="X324" s="15"/>
      <c r="Y324" s="15"/>
    </row>
    <row r="325" spans="1:25" s="13" customFormat="1" x14ac:dyDescent="0.3">
      <c r="A325" s="39"/>
      <c r="B325" s="59"/>
      <c r="C325" s="15"/>
      <c r="D325" s="52"/>
      <c r="F325" s="15"/>
      <c r="H325" s="43"/>
      <c r="I325" s="43"/>
      <c r="J325" s="43"/>
      <c r="K325" s="43"/>
      <c r="L325" s="43"/>
      <c r="M325" s="18"/>
      <c r="N325" s="15"/>
      <c r="O325" s="16"/>
      <c r="P325" s="15"/>
      <c r="Q325" s="11"/>
      <c r="R325" s="15"/>
      <c r="S325" s="15"/>
      <c r="T325" s="15"/>
      <c r="U325" s="15"/>
      <c r="V325" s="15"/>
      <c r="W325" s="15"/>
      <c r="X325" s="15"/>
      <c r="Y325" s="15"/>
    </row>
    <row r="326" spans="1:25" s="13" customFormat="1" x14ac:dyDescent="0.3">
      <c r="A326" s="39"/>
      <c r="B326" s="59"/>
      <c r="C326" s="15"/>
      <c r="D326" s="52"/>
      <c r="F326" s="15"/>
      <c r="H326" s="43"/>
      <c r="I326" s="43"/>
      <c r="J326" s="43"/>
      <c r="K326" s="43"/>
      <c r="L326" s="43"/>
      <c r="M326" s="18"/>
      <c r="N326" s="15"/>
      <c r="O326" s="16"/>
      <c r="P326" s="15"/>
      <c r="Q326" s="11"/>
      <c r="R326" s="15"/>
      <c r="S326" s="15"/>
      <c r="T326" s="15"/>
      <c r="U326" s="15"/>
      <c r="V326" s="15"/>
      <c r="W326" s="15"/>
      <c r="X326" s="15"/>
      <c r="Y326" s="15"/>
    </row>
    <row r="327" spans="1:25" s="13" customFormat="1" x14ac:dyDescent="0.3">
      <c r="A327" s="39"/>
      <c r="B327" s="59"/>
      <c r="C327" s="15"/>
      <c r="D327" s="52"/>
      <c r="F327" s="15"/>
      <c r="H327" s="43"/>
      <c r="I327" s="43"/>
      <c r="J327" s="43"/>
      <c r="K327" s="43"/>
      <c r="L327" s="43"/>
      <c r="M327" s="18"/>
      <c r="N327" s="15"/>
      <c r="O327" s="16"/>
      <c r="P327" s="15"/>
      <c r="Q327" s="11"/>
      <c r="R327" s="15"/>
      <c r="S327" s="15"/>
      <c r="T327" s="15"/>
      <c r="U327" s="15"/>
      <c r="V327" s="15"/>
      <c r="W327" s="15"/>
      <c r="X327" s="15"/>
      <c r="Y327" s="15"/>
    </row>
    <row r="328" spans="1:25" s="13" customFormat="1" x14ac:dyDescent="0.3">
      <c r="A328" s="39"/>
      <c r="B328" s="59"/>
      <c r="C328" s="15"/>
      <c r="D328" s="52"/>
      <c r="F328" s="15"/>
      <c r="H328" s="43"/>
      <c r="I328" s="43"/>
      <c r="J328" s="43"/>
      <c r="K328" s="43"/>
      <c r="L328" s="43"/>
      <c r="M328" s="18"/>
      <c r="N328" s="15"/>
      <c r="O328" s="16"/>
      <c r="P328" s="15"/>
      <c r="Q328" s="11"/>
      <c r="R328" s="15"/>
      <c r="S328" s="15"/>
      <c r="T328" s="15"/>
      <c r="U328" s="15"/>
      <c r="V328" s="15"/>
      <c r="W328" s="15"/>
      <c r="X328" s="15"/>
      <c r="Y328" s="15"/>
    </row>
    <row r="329" spans="1:25" s="13" customFormat="1" x14ac:dyDescent="0.3">
      <c r="A329" s="39"/>
      <c r="B329" s="59"/>
      <c r="C329" s="15"/>
      <c r="D329" s="52"/>
      <c r="F329" s="15"/>
      <c r="H329" s="43"/>
      <c r="I329" s="43"/>
      <c r="J329" s="43"/>
      <c r="K329" s="43"/>
      <c r="L329" s="43"/>
      <c r="M329" s="18"/>
      <c r="N329" s="15"/>
      <c r="O329" s="16"/>
      <c r="P329" s="15"/>
      <c r="Q329" s="11"/>
      <c r="R329" s="15"/>
      <c r="S329" s="15"/>
      <c r="T329" s="15"/>
      <c r="U329" s="15"/>
      <c r="V329" s="15"/>
      <c r="W329" s="15"/>
      <c r="X329" s="15"/>
      <c r="Y329" s="15"/>
    </row>
    <row r="330" spans="1:25" s="13" customFormat="1" x14ac:dyDescent="0.3">
      <c r="A330" s="39"/>
      <c r="B330" s="59"/>
      <c r="C330" s="15"/>
      <c r="D330" s="52"/>
      <c r="F330" s="15"/>
      <c r="H330" s="43"/>
      <c r="I330" s="43"/>
      <c r="J330" s="43"/>
      <c r="K330" s="43"/>
      <c r="L330" s="43"/>
      <c r="M330" s="18"/>
      <c r="N330" s="15"/>
      <c r="O330" s="16"/>
      <c r="P330" s="15"/>
      <c r="Q330" s="11"/>
      <c r="R330" s="15"/>
      <c r="S330" s="15"/>
      <c r="T330" s="15"/>
      <c r="U330" s="15"/>
      <c r="V330" s="15"/>
      <c r="W330" s="15"/>
      <c r="X330" s="15"/>
      <c r="Y330" s="15"/>
    </row>
    <row r="331" spans="1:25" s="13" customFormat="1" x14ac:dyDescent="0.3">
      <c r="A331" s="39"/>
      <c r="B331" s="59"/>
      <c r="C331" s="15"/>
      <c r="D331" s="52"/>
      <c r="F331" s="15"/>
      <c r="H331" s="43"/>
      <c r="I331" s="43"/>
      <c r="J331" s="43"/>
      <c r="K331" s="43"/>
      <c r="L331" s="43"/>
      <c r="M331" s="18"/>
      <c r="N331" s="15"/>
      <c r="O331" s="16"/>
      <c r="P331" s="15"/>
      <c r="Q331" s="11"/>
      <c r="R331" s="15"/>
      <c r="S331" s="15"/>
      <c r="T331" s="15"/>
      <c r="U331" s="15"/>
      <c r="V331" s="15"/>
      <c r="W331" s="15"/>
      <c r="X331" s="15"/>
      <c r="Y331" s="15"/>
    </row>
    <row r="332" spans="1:25" s="13" customFormat="1" x14ac:dyDescent="0.3">
      <c r="A332" s="39"/>
      <c r="B332" s="59"/>
      <c r="C332" s="15"/>
      <c r="D332" s="52"/>
      <c r="F332" s="15"/>
      <c r="H332" s="43"/>
      <c r="I332" s="43"/>
      <c r="J332" s="43"/>
      <c r="K332" s="43"/>
      <c r="L332" s="43"/>
      <c r="M332" s="18"/>
      <c r="N332" s="15"/>
      <c r="O332" s="16"/>
      <c r="P332" s="15"/>
      <c r="Q332" s="11"/>
      <c r="R332" s="15"/>
      <c r="S332" s="15"/>
      <c r="T332" s="15"/>
      <c r="U332" s="15"/>
      <c r="V332" s="15"/>
      <c r="W332" s="15"/>
      <c r="X332" s="15"/>
      <c r="Y332" s="15"/>
    </row>
    <row r="333" spans="1:25" s="13" customFormat="1" x14ac:dyDescent="0.3">
      <c r="A333" s="39"/>
      <c r="B333" s="59"/>
      <c r="C333" s="15"/>
      <c r="D333" s="52"/>
      <c r="F333" s="15"/>
      <c r="H333" s="43"/>
      <c r="I333" s="43"/>
      <c r="J333" s="43"/>
      <c r="K333" s="43"/>
      <c r="L333" s="43"/>
      <c r="M333" s="18"/>
      <c r="N333" s="15"/>
      <c r="O333" s="16"/>
      <c r="P333" s="15"/>
      <c r="Q333" s="11"/>
      <c r="R333" s="15"/>
      <c r="S333" s="15"/>
      <c r="T333" s="15"/>
      <c r="U333" s="15"/>
      <c r="V333" s="15"/>
      <c r="W333" s="15"/>
      <c r="X333" s="15"/>
      <c r="Y333" s="15"/>
    </row>
    <row r="334" spans="1:25" s="13" customFormat="1" x14ac:dyDescent="0.3">
      <c r="A334" s="39"/>
      <c r="B334" s="59"/>
      <c r="C334" s="15"/>
      <c r="D334" s="52"/>
      <c r="F334" s="15"/>
      <c r="H334" s="43"/>
      <c r="I334" s="43"/>
      <c r="J334" s="43"/>
      <c r="K334" s="43"/>
      <c r="L334" s="43"/>
      <c r="M334" s="18"/>
      <c r="N334" s="15"/>
      <c r="O334" s="16"/>
      <c r="P334" s="15"/>
      <c r="Q334" s="11"/>
      <c r="R334" s="15"/>
      <c r="S334" s="15"/>
      <c r="T334" s="15"/>
      <c r="U334" s="15"/>
      <c r="V334" s="15"/>
      <c r="W334" s="15"/>
      <c r="X334" s="15"/>
      <c r="Y334" s="15"/>
    </row>
    <row r="335" spans="1:25" s="13" customFormat="1" x14ac:dyDescent="0.3">
      <c r="A335" s="39"/>
      <c r="B335" s="59"/>
      <c r="C335" s="15"/>
      <c r="D335" s="52"/>
      <c r="F335" s="15"/>
      <c r="H335" s="43"/>
      <c r="I335" s="43"/>
      <c r="J335" s="43"/>
      <c r="K335" s="43"/>
      <c r="L335" s="43"/>
      <c r="M335" s="18"/>
      <c r="N335" s="15"/>
      <c r="O335" s="16"/>
      <c r="P335" s="15"/>
      <c r="Q335" s="11"/>
      <c r="R335" s="15"/>
      <c r="S335" s="15"/>
      <c r="T335" s="15"/>
      <c r="U335" s="15"/>
      <c r="V335" s="15"/>
      <c r="W335" s="15"/>
      <c r="X335" s="15"/>
      <c r="Y335" s="15"/>
    </row>
    <row r="336" spans="1:25" s="13" customFormat="1" x14ac:dyDescent="0.3">
      <c r="A336" s="39"/>
      <c r="B336" s="59"/>
      <c r="C336" s="15"/>
      <c r="D336" s="52"/>
      <c r="F336" s="15"/>
      <c r="H336" s="43"/>
      <c r="I336" s="43"/>
      <c r="J336" s="43"/>
      <c r="K336" s="43"/>
      <c r="L336" s="43"/>
      <c r="M336" s="18"/>
      <c r="N336" s="15"/>
      <c r="O336" s="16"/>
      <c r="P336" s="15"/>
      <c r="Q336" s="11"/>
      <c r="R336" s="15"/>
      <c r="S336" s="15"/>
      <c r="T336" s="15"/>
      <c r="U336" s="15"/>
      <c r="V336" s="15"/>
      <c r="W336" s="15"/>
      <c r="X336" s="15"/>
      <c r="Y336" s="15"/>
    </row>
    <row r="337" spans="1:25" s="13" customFormat="1" x14ac:dyDescent="0.3">
      <c r="A337" s="39"/>
      <c r="B337" s="59"/>
      <c r="C337" s="15"/>
      <c r="D337" s="52"/>
      <c r="F337" s="15"/>
      <c r="H337" s="43"/>
      <c r="I337" s="43"/>
      <c r="J337" s="43"/>
      <c r="K337" s="43"/>
      <c r="L337" s="43"/>
      <c r="M337" s="18"/>
      <c r="N337" s="15"/>
      <c r="O337" s="16"/>
      <c r="P337" s="15"/>
      <c r="Q337" s="11"/>
      <c r="R337" s="15"/>
      <c r="S337" s="15"/>
      <c r="T337" s="15"/>
      <c r="U337" s="15"/>
      <c r="V337" s="15"/>
      <c r="W337" s="15"/>
      <c r="X337" s="15"/>
      <c r="Y337" s="15"/>
    </row>
    <row r="338" spans="1:25" s="13" customFormat="1" x14ac:dyDescent="0.3">
      <c r="A338" s="39"/>
      <c r="B338" s="59"/>
      <c r="C338" s="15"/>
      <c r="D338" s="52"/>
      <c r="F338" s="15"/>
      <c r="H338" s="43"/>
      <c r="I338" s="43"/>
      <c r="J338" s="43"/>
      <c r="K338" s="43"/>
      <c r="L338" s="43"/>
      <c r="M338" s="18"/>
      <c r="N338" s="15"/>
      <c r="O338" s="16"/>
      <c r="P338" s="15"/>
      <c r="Q338" s="11"/>
      <c r="R338" s="15"/>
      <c r="S338" s="15"/>
      <c r="T338" s="15"/>
      <c r="U338" s="15"/>
      <c r="V338" s="15"/>
      <c r="W338" s="15"/>
      <c r="X338" s="15"/>
      <c r="Y338" s="15"/>
    </row>
    <row r="339" spans="1:25" s="13" customFormat="1" x14ac:dyDescent="0.3">
      <c r="A339" s="39"/>
      <c r="B339" s="59"/>
      <c r="C339" s="15"/>
      <c r="D339" s="52"/>
      <c r="F339" s="15"/>
      <c r="H339" s="43"/>
      <c r="I339" s="43"/>
      <c r="J339" s="43"/>
      <c r="K339" s="43"/>
      <c r="L339" s="43"/>
      <c r="M339" s="18"/>
      <c r="N339" s="15"/>
      <c r="O339" s="16"/>
      <c r="P339" s="15"/>
      <c r="Q339" s="11"/>
      <c r="R339" s="15"/>
      <c r="S339" s="15"/>
      <c r="T339" s="15"/>
      <c r="U339" s="15"/>
      <c r="V339" s="15"/>
      <c r="W339" s="15"/>
      <c r="X339" s="15"/>
      <c r="Y339" s="15"/>
    </row>
    <row r="340" spans="1:25" s="13" customFormat="1" x14ac:dyDescent="0.3">
      <c r="A340" s="39"/>
      <c r="B340" s="106"/>
      <c r="C340" s="15"/>
      <c r="D340" s="52"/>
      <c r="F340" s="15"/>
      <c r="H340" s="43"/>
      <c r="I340" s="43"/>
      <c r="J340" s="43"/>
      <c r="K340" s="43"/>
      <c r="L340" s="43"/>
      <c r="M340" s="18"/>
      <c r="N340" s="15"/>
      <c r="O340" s="16"/>
      <c r="P340" s="15"/>
      <c r="Q340" s="11"/>
      <c r="R340" s="15"/>
      <c r="S340" s="15"/>
      <c r="T340" s="15"/>
      <c r="U340" s="15"/>
      <c r="V340" s="15"/>
      <c r="W340" s="15"/>
      <c r="X340" s="15"/>
      <c r="Y340" s="15"/>
    </row>
  </sheetData>
  <pageMargins left="0.31496062992125984" right="0.31496062992125984" top="0.74803149606299213" bottom="0.74803149606299213" header="0.31496062992125984" footer="0.31496062992125984"/>
  <pageSetup paperSize="9" scale="58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5"/>
  <sheetViews>
    <sheetView workbookViewId="0">
      <pane xSplit="2" ySplit="1" topLeftCell="C13" activePane="bottomRight" state="frozen"/>
      <selection activeCell="M382" sqref="M382:Q383"/>
      <selection pane="topRight" activeCell="M382" sqref="M382:Q383"/>
      <selection pane="bottomLeft" activeCell="M382" sqref="M382:Q383"/>
      <selection pane="bottomRight" activeCell="A28" sqref="A28"/>
    </sheetView>
  </sheetViews>
  <sheetFormatPr defaultColWidth="8.7265625" defaultRowHeight="13" x14ac:dyDescent="0.35"/>
  <cols>
    <col min="1" max="1" width="30.453125" style="9" bestFit="1" customWidth="1"/>
    <col min="2" max="2" width="9.453125" style="9" customWidth="1"/>
    <col min="3" max="4" width="11.1796875" style="9" bestFit="1" customWidth="1"/>
    <col min="5" max="6" width="10.81640625" style="9" bestFit="1" customWidth="1"/>
    <col min="7" max="7" width="11.1796875" style="9" bestFit="1" customWidth="1"/>
    <col min="8" max="8" width="11.453125" style="9" bestFit="1" customWidth="1"/>
    <col min="9" max="10" width="11.1796875" style="9" bestFit="1" customWidth="1"/>
    <col min="11" max="11" width="10.36328125" style="9" bestFit="1" customWidth="1"/>
    <col min="12" max="12" width="10.54296875" style="9" bestFit="1" customWidth="1"/>
    <col min="13" max="13" width="10.36328125" style="9" bestFit="1" customWidth="1"/>
    <col min="14" max="15" width="10.54296875" style="9" bestFit="1" customWidth="1"/>
    <col min="16" max="16" width="11.453125" style="9" bestFit="1" customWidth="1"/>
    <col min="17" max="17" width="11.08984375" style="14" bestFit="1" customWidth="1"/>
    <col min="18" max="16384" width="8.7265625" style="9"/>
  </cols>
  <sheetData>
    <row r="1" spans="1:20" s="10" customFormat="1" x14ac:dyDescent="0.35">
      <c r="C1" s="66" t="s">
        <v>24</v>
      </c>
      <c r="D1" s="66" t="s">
        <v>25</v>
      </c>
      <c r="E1" s="66" t="s">
        <v>26</v>
      </c>
      <c r="F1" s="66" t="s">
        <v>27</v>
      </c>
      <c r="G1" s="66" t="s">
        <v>516</v>
      </c>
      <c r="H1" s="66" t="s">
        <v>28</v>
      </c>
      <c r="I1" s="66" t="s">
        <v>520</v>
      </c>
      <c r="J1" s="66" t="s">
        <v>521</v>
      </c>
      <c r="K1" s="66" t="s">
        <v>29</v>
      </c>
      <c r="L1" s="66" t="s">
        <v>30</v>
      </c>
      <c r="M1" s="66" t="s">
        <v>31</v>
      </c>
      <c r="N1" s="66" t="s">
        <v>32</v>
      </c>
      <c r="O1" s="66" t="s">
        <v>33</v>
      </c>
      <c r="P1" s="66" t="s">
        <v>34</v>
      </c>
      <c r="Q1" s="67" t="s">
        <v>35</v>
      </c>
    </row>
    <row r="2" spans="1:20" x14ac:dyDescent="0.3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/>
    </row>
    <row r="3" spans="1:20" x14ac:dyDescent="0.35">
      <c r="A3" s="9" t="s">
        <v>36</v>
      </c>
      <c r="C3" s="68"/>
      <c r="D3" s="71">
        <f>SUMIFS('CASH BOOK 2020'!$K:$K,'CASH BOOK 2020'!$B:$B,'CASHFLOW 2020'!D$1,'CASH BOOK 2020'!$D:$D,'CASHFLOW 2020'!$A3)</f>
        <v>8938.3100000000013</v>
      </c>
      <c r="E3" s="71">
        <f>SUMIFS('CASH BOOK 2020'!$K:$K,'CASH BOOK 2020'!$B:$B,'CASHFLOW 2020'!E$1,'CASH BOOK 2020'!$D:$D,'CASHFLOW 2020'!$A3)</f>
        <v>108</v>
      </c>
      <c r="F3" s="71">
        <f>SUMIFS('CASH BOOK 2020'!$K:$K,'CASH BOOK 2020'!$B:$B,'CASHFLOW 2020'!F$1,'CASH BOOK 2020'!$D:$D,'CASHFLOW 2020'!$A3)</f>
        <v>105.19999999999999</v>
      </c>
      <c r="G3" s="71">
        <f>SUMIFS('CASH BOOK 2020'!$K:$K,'CASH BOOK 2020'!$B:$B,'CASHFLOW 2020'!G$1,'CASH BOOK 2020'!$D:$D,'CASHFLOW 2020'!$A3)</f>
        <v>0</v>
      </c>
      <c r="H3" s="71">
        <f>SUMIFS('CASH BOOK 2020'!$K:$K,'CASH BOOK 2020'!$B:$B,'CASHFLOW 2020'!H$1,'CASH BOOK 2020'!$D:$D,'CASHFLOW 2020'!$A3)</f>
        <v>0</v>
      </c>
      <c r="I3" s="71">
        <f>SUMIFS('CASH BOOK 2020'!$K:$K,'CASH BOOK 2020'!$B:$B,'CASHFLOW 2020'!I$1,'CASH BOOK 2020'!$D:$D,'CASHFLOW 2020'!$A3)</f>
        <v>0</v>
      </c>
      <c r="J3" s="71">
        <f>SUMIFS('CASH BOOK 2020'!$K:$K,'CASH BOOK 2020'!$B:$B,'CASHFLOW 2020'!J$1,'CASH BOOK 2020'!$D:$D,'CASHFLOW 2020'!$A3)</f>
        <v>0</v>
      </c>
      <c r="K3" s="71">
        <f>SUMIFS('CASH BOOK 2020'!$K:$K,'CASH BOOK 2020'!$B:$B,'CASHFLOW 2020'!K$1,'CASH BOOK 2020'!$D:$D,'CASHFLOW 2020'!$A3)</f>
        <v>0</v>
      </c>
      <c r="L3" s="71">
        <f>SUMIFS('CASH BOOK 2020'!$K:$K,'CASH BOOK 2020'!$B:$B,'CASHFLOW 2020'!L$1,'CASH BOOK 2020'!$D:$D,'CASHFLOW 2020'!$A3)</f>
        <v>0</v>
      </c>
      <c r="M3" s="71">
        <f>SUMIFS('CASH BOOK 2020'!$K:$K,'CASH BOOK 2020'!$B:$B,'CASHFLOW 2020'!M$1,'CASH BOOK 2020'!$D:$D,'CASHFLOW 2020'!$A3)</f>
        <v>4229.2</v>
      </c>
      <c r="N3" s="71">
        <f>SUMIFS('CASH BOOK 2020'!$K:$K,'CASH BOOK 2020'!$B:$B,'CASHFLOW 2020'!N$1,'CASH BOOK 2020'!$D:$D,'CASHFLOW 2020'!$A3)</f>
        <v>0</v>
      </c>
      <c r="O3" s="71">
        <f>SUMIFS('CASH BOOK 2020'!$K:$K,'CASH BOOK 2020'!$B:$B,'CASHFLOW 2020'!O$1,'CASH BOOK 2020'!$D:$D,'CASHFLOW 2020'!$A3)</f>
        <v>60.24</v>
      </c>
      <c r="P3" s="92">
        <f t="shared" ref="P3:P9" si="0">SUM(D3:O3)</f>
        <v>13440.950000000003</v>
      </c>
      <c r="Q3" s="70">
        <v>18000</v>
      </c>
    </row>
    <row r="4" spans="1:20" ht="15.5" x14ac:dyDescent="0.35">
      <c r="A4" s="9" t="s">
        <v>37</v>
      </c>
      <c r="C4" s="68"/>
      <c r="D4" s="71">
        <f>SUMIFS('CASH BOOK 2020'!$K:$K,'CASH BOOK 2020'!$B:$B,'CASHFLOW 2020'!D$1,'CASH BOOK 2020'!$D:$D,'CASHFLOW 2020'!$A4)</f>
        <v>778</v>
      </c>
      <c r="E4" s="71">
        <f>SUMIFS('CASH BOOK 2020'!$K:$K,'CASH BOOK 2020'!$B:$B,'CASHFLOW 2020'!E$1,'CASH BOOK 2020'!$D:$D,'CASHFLOW 2020'!$A4)</f>
        <v>341</v>
      </c>
      <c r="F4" s="71">
        <f>SUMIFS('CASH BOOK 2020'!$K:$K,'CASH BOOK 2020'!$B:$B,'CASHFLOW 2020'!F$1,'CASH BOOK 2020'!$D:$D,'CASHFLOW 2020'!$A4)</f>
        <v>381</v>
      </c>
      <c r="G4" s="71">
        <f>SUMIFS('CASH BOOK 2020'!$K:$K,'CASH BOOK 2020'!$B:$B,'CASHFLOW 2020'!G$1,'CASH BOOK 2020'!$D:$D,'CASHFLOW 2020'!$A4)</f>
        <v>-200</v>
      </c>
      <c r="H4" s="71">
        <f>SUMIFS('CASH BOOK 2020'!$K:$K,'CASH BOOK 2020'!$B:$B,'CASHFLOW 2020'!H$1,'CASH BOOK 2020'!$D:$D,'CASHFLOW 2020'!$A4)</f>
        <v>0</v>
      </c>
      <c r="I4" s="71">
        <f>SUMIFS('CASH BOOK 2020'!$K:$K,'CASH BOOK 2020'!$B:$B,'CASHFLOW 2020'!I$1,'CASH BOOK 2020'!$D:$D,'CASHFLOW 2020'!$A4)</f>
        <v>0</v>
      </c>
      <c r="J4" s="71">
        <f>SUMIFS('CASH BOOK 2020'!$K:$K,'CASH BOOK 2020'!$B:$B,'CASHFLOW 2020'!J$1,'CASH BOOK 2020'!$D:$D,'CASHFLOW 2020'!$A4)</f>
        <v>50</v>
      </c>
      <c r="K4" s="71">
        <f>SUMIFS('CASH BOOK 2020'!$K:$K,'CASH BOOK 2020'!$B:$B,'CASHFLOW 2020'!K$1,'CASH BOOK 2020'!$D:$D,'CASHFLOW 2020'!$A4)</f>
        <v>90</v>
      </c>
      <c r="L4" s="71">
        <f>SUMIFS('CASH BOOK 2020'!$K:$K,'CASH BOOK 2020'!$B:$B,'CASHFLOW 2020'!L$1,'CASH BOOK 2020'!$D:$D,'CASHFLOW 2020'!$A4)</f>
        <v>80</v>
      </c>
      <c r="M4" s="71">
        <f>SUMIFS('CASH BOOK 2020'!$K:$K,'CASH BOOK 2020'!$B:$B,'CASHFLOW 2020'!M$1,'CASH BOOK 2020'!$D:$D,'CASHFLOW 2020'!$A4)</f>
        <v>88</v>
      </c>
      <c r="N4" s="71">
        <f>SUMIFS('CASH BOOK 2020'!$K:$K,'CASH BOOK 2020'!$B:$B,'CASHFLOW 2020'!N$1,'CASH BOOK 2020'!$D:$D,'CASHFLOW 2020'!$A4)</f>
        <v>0</v>
      </c>
      <c r="O4" s="71">
        <f>SUMIFS('CASH BOOK 2020'!$K:$K,'CASH BOOK 2020'!$B:$B,'CASHFLOW 2020'!O$1,'CASH BOOK 2020'!$D:$D,'CASHFLOW 2020'!$A4)</f>
        <v>330</v>
      </c>
      <c r="P4" s="69">
        <f t="shared" si="0"/>
        <v>1938</v>
      </c>
      <c r="Q4" s="70">
        <v>6600</v>
      </c>
      <c r="T4" s="247"/>
    </row>
    <row r="5" spans="1:20" ht="15.5" x14ac:dyDescent="0.35">
      <c r="A5" s="9" t="s">
        <v>622</v>
      </c>
      <c r="C5" s="68"/>
      <c r="D5" s="71">
        <f>SUMIFS('CASH BOOK 2020'!$K:$K,'CASH BOOK 2020'!$B:$B,'CASHFLOW 2020'!D$1,'CASH BOOK 2020'!$D:$D,'CASHFLOW 2020'!$A5)</f>
        <v>50</v>
      </c>
      <c r="E5" s="71">
        <f>SUMIFS('CASH BOOK 2020'!$K:$K,'CASH BOOK 2020'!$B:$B,'CASHFLOW 2020'!E$1,'CASH BOOK 2020'!$D:$D,'CASHFLOW 2020'!$A5)</f>
        <v>5170.58</v>
      </c>
      <c r="F5" s="71">
        <f>SUMIFS('CASH BOOK 2020'!$K:$K,'CASH BOOK 2020'!$B:$B,'CASHFLOW 2020'!F$1,'CASH BOOK 2020'!$D:$D,'CASHFLOW 2020'!$A5)</f>
        <v>0</v>
      </c>
      <c r="G5" s="71">
        <f>SUMIFS('CASH BOOK 2020'!$K:$K,'CASH BOOK 2020'!$B:$B,'CASHFLOW 2020'!G$1,'CASH BOOK 2020'!$D:$D,'CASHFLOW 2020'!$A5)</f>
        <v>0</v>
      </c>
      <c r="H5" s="71">
        <f>SUMIFS('CASH BOOK 2020'!$K:$K,'CASH BOOK 2020'!$B:$B,'CASHFLOW 2020'!H$1,'CASH BOOK 2020'!$D:$D,'CASHFLOW 2020'!$A5)</f>
        <v>0</v>
      </c>
      <c r="I5" s="71">
        <f>SUMIFS('CASH BOOK 2020'!$K:$K,'CASH BOOK 2020'!$B:$B,'CASHFLOW 2020'!I$1,'CASH BOOK 2020'!$D:$D,'CASHFLOW 2020'!$A5)</f>
        <v>0</v>
      </c>
      <c r="J5" s="71">
        <f>SUMIFS('CASH BOOK 2020'!$K:$K,'CASH BOOK 2020'!$B:$B,'CASHFLOW 2020'!J$1,'CASH BOOK 2020'!$D:$D,'CASHFLOW 2020'!$A5)</f>
        <v>0</v>
      </c>
      <c r="K5" s="71">
        <f>SUMIFS('CASH BOOK 2020'!$K:$K,'CASH BOOK 2020'!$B:$B,'CASHFLOW 2020'!K$1,'CASH BOOK 2020'!$D:$D,'CASHFLOW 2020'!$A5)</f>
        <v>0</v>
      </c>
      <c r="L5" s="71">
        <f>SUMIFS('CASH BOOK 2020'!$K:$K,'CASH BOOK 2020'!$B:$B,'CASHFLOW 2020'!L$1,'CASH BOOK 2020'!$D:$D,'CASHFLOW 2020'!$A5)</f>
        <v>0</v>
      </c>
      <c r="M5" s="71">
        <f>SUMIFS('CASH BOOK 2020'!$K:$K,'CASH BOOK 2020'!$B:$B,'CASHFLOW 2020'!M$1,'CASH BOOK 2020'!$D:$D,'CASHFLOW 2020'!$A5)</f>
        <v>50</v>
      </c>
      <c r="N5" s="71">
        <f>SUMIFS('CASH BOOK 2020'!$K:$K,'CASH BOOK 2020'!$B:$B,'CASHFLOW 2020'!N$1,'CASH BOOK 2020'!$D:$D,'CASHFLOW 2020'!$A5)</f>
        <v>50</v>
      </c>
      <c r="O5" s="71">
        <f>SUMIFS('CASH BOOK 2020'!$K:$K,'CASH BOOK 2020'!$B:$B,'CASHFLOW 2020'!O$1,'CASH BOOK 2020'!$D:$D,'CASHFLOW 2020'!$A5)</f>
        <v>330</v>
      </c>
      <c r="P5" s="69">
        <f t="shared" si="0"/>
        <v>5650.58</v>
      </c>
      <c r="Q5" s="70">
        <v>100</v>
      </c>
      <c r="T5" s="247"/>
    </row>
    <row r="6" spans="1:20" ht="15.5" x14ac:dyDescent="0.35">
      <c r="A6" s="7" t="s">
        <v>317</v>
      </c>
      <c r="C6" s="68"/>
      <c r="D6" s="71">
        <f>SUMIFS('CASH BOOK 2020'!$K:$K,'CASH BOOK 2020'!$B:$B,'CASHFLOW 2020'!D$1,'CASH BOOK 2020'!$D:$D,'CASHFLOW 2020'!$A6)</f>
        <v>0</v>
      </c>
      <c r="E6" s="71">
        <f>SUMIFS('CASH BOOK 2020'!$K:$K,'CASH BOOK 2020'!$B:$B,'CASHFLOW 2020'!E$1,'CASH BOOK 2020'!$D:$D,'CASHFLOW 2020'!$A6)</f>
        <v>0</v>
      </c>
      <c r="F6" s="71">
        <f>SUMIFS('CASH BOOK 2020'!$K:$K,'CASH BOOK 2020'!$B:$B,'CASHFLOW 2020'!F$1,'CASH BOOK 2020'!$D:$D,'CASHFLOW 2020'!$A6)</f>
        <v>0</v>
      </c>
      <c r="G6" s="71">
        <f>SUMIFS('CASH BOOK 2020'!$K:$K,'CASH BOOK 2020'!$B:$B,'CASHFLOW 2020'!G$1,'CASH BOOK 2020'!$D:$D,'CASHFLOW 2020'!$A6)</f>
        <v>0</v>
      </c>
      <c r="H6" s="71">
        <f>SUMIFS('CASH BOOK 2020'!$K:$K,'CASH BOOK 2020'!$B:$B,'CASHFLOW 2020'!H$1,'CASH BOOK 2020'!$D:$D,'CASHFLOW 2020'!$A6)</f>
        <v>0</v>
      </c>
      <c r="I6" s="71">
        <f>SUMIFS('CASH BOOK 2020'!$K:$K,'CASH BOOK 2020'!$B:$B,'CASHFLOW 2020'!I$1,'CASH BOOK 2020'!$D:$D,'CASHFLOW 2020'!$A6)</f>
        <v>0</v>
      </c>
      <c r="J6" s="71">
        <f>SUMIFS('CASH BOOK 2020'!$K:$K,'CASH BOOK 2020'!$B:$B,'CASHFLOW 2020'!J$1,'CASH BOOK 2020'!$D:$D,'CASHFLOW 2020'!$A6)</f>
        <v>0</v>
      </c>
      <c r="K6" s="71">
        <f>SUMIFS('CASH BOOK 2020'!$K:$K,'CASH BOOK 2020'!$B:$B,'CASHFLOW 2020'!K$1,'CASH BOOK 2020'!$D:$D,'CASHFLOW 2020'!$A6)</f>
        <v>0</v>
      </c>
      <c r="L6" s="71">
        <f>SUMIFS('CASH BOOK 2020'!$K:$K,'CASH BOOK 2020'!$B:$B,'CASHFLOW 2020'!L$1,'CASH BOOK 2020'!$D:$D,'CASHFLOW 2020'!$A6)</f>
        <v>0</v>
      </c>
      <c r="M6" s="71">
        <f>SUMIFS('CASH BOOK 2020'!$K:$K,'CASH BOOK 2020'!$B:$B,'CASHFLOW 2020'!M$1,'CASH BOOK 2020'!$D:$D,'CASHFLOW 2020'!$A6)</f>
        <v>0</v>
      </c>
      <c r="N6" s="71">
        <f>SUMIFS('CASH BOOK 2020'!$K:$K,'CASH BOOK 2020'!$B:$B,'CASHFLOW 2020'!N$1,'CASH BOOK 2020'!$D:$D,'CASHFLOW 2020'!$A6)</f>
        <v>0</v>
      </c>
      <c r="O6" s="71">
        <f>SUMIFS('CASH BOOK 2020'!$K:$K,'CASH BOOK 2020'!$B:$B,'CASHFLOW 2020'!O$1,'CASH BOOK 2020'!$D:$D,'CASHFLOW 2020'!$A6)</f>
        <v>0</v>
      </c>
      <c r="P6" s="69">
        <f t="shared" si="0"/>
        <v>0</v>
      </c>
      <c r="Q6" s="70"/>
      <c r="T6" s="247"/>
    </row>
    <row r="7" spans="1:20" ht="15.5" x14ac:dyDescent="0.35">
      <c r="A7" s="7" t="s">
        <v>1405</v>
      </c>
      <c r="C7" s="68"/>
      <c r="D7" s="71">
        <f>SUMIFS('CASH BOOK 2020'!$K:$K,'CASH BOOK 2020'!$B:$B,'CASHFLOW 2020'!D$1,'CASH BOOK 2020'!$D:$D,'CASHFLOW 2020'!$A7)</f>
        <v>0</v>
      </c>
      <c r="E7" s="71">
        <f>SUMIFS('CASH BOOK 2020'!$K:$K,'CASH BOOK 2020'!$B:$B,'CASHFLOW 2020'!E$1,'CASH BOOK 2020'!$D:$D,'CASHFLOW 2020'!$A7)</f>
        <v>0</v>
      </c>
      <c r="F7" s="71">
        <f>SUMIFS('CASH BOOK 2020'!$K:$K,'CASH BOOK 2020'!$B:$B,'CASHFLOW 2020'!F$1,'CASH BOOK 2020'!$D:$D,'CASHFLOW 2020'!$A7)</f>
        <v>0</v>
      </c>
      <c r="G7" s="71">
        <f>SUMIFS('CASH BOOK 2020'!$K:$K,'CASH BOOK 2020'!$B:$B,'CASHFLOW 2020'!G$1,'CASH BOOK 2020'!$D:$D,'CASHFLOW 2020'!$A7)</f>
        <v>0</v>
      </c>
      <c r="H7" s="71">
        <f>SUMIFS('CASH BOOK 2020'!$K:$K,'CASH BOOK 2020'!$B:$B,'CASHFLOW 2020'!H$1,'CASH BOOK 2020'!$D:$D,'CASHFLOW 2020'!$A7)</f>
        <v>0</v>
      </c>
      <c r="I7" s="71">
        <f>SUMIFS('CASH BOOK 2020'!$K:$K,'CASH BOOK 2020'!$B:$B,'CASHFLOW 2020'!I$1,'CASH BOOK 2020'!$D:$D,'CASHFLOW 2020'!$A7)</f>
        <v>1000</v>
      </c>
      <c r="J7" s="71">
        <f>SUMIFS('CASH BOOK 2020'!$K:$K,'CASH BOOK 2020'!$B:$B,'CASHFLOW 2020'!J$1,'CASH BOOK 2020'!$D:$D,'CASHFLOW 2020'!$A7)</f>
        <v>0</v>
      </c>
      <c r="K7" s="71">
        <f>SUMIFS('CASH BOOK 2020'!$K:$K,'CASH BOOK 2020'!$B:$B,'CASHFLOW 2020'!K$1,'CASH BOOK 2020'!$D:$D,'CASHFLOW 2020'!$A7)</f>
        <v>0</v>
      </c>
      <c r="L7" s="71">
        <f>SUMIFS('CASH BOOK 2020'!$K:$K,'CASH BOOK 2020'!$B:$B,'CASHFLOW 2020'!L$1,'CASH BOOK 2020'!$D:$D,'CASHFLOW 2020'!$A7)</f>
        <v>0</v>
      </c>
      <c r="M7" s="71">
        <f>SUMIFS('CASH BOOK 2020'!$K:$K,'CASH BOOK 2020'!$B:$B,'CASHFLOW 2020'!M$1,'CASH BOOK 2020'!$D:$D,'CASHFLOW 2020'!$A7)</f>
        <v>0</v>
      </c>
      <c r="N7" s="71">
        <f>SUMIFS('CASH BOOK 2020'!$K:$K,'CASH BOOK 2020'!$B:$B,'CASHFLOW 2020'!N$1,'CASH BOOK 2020'!$D:$D,'CASHFLOW 2020'!$A7)</f>
        <v>0</v>
      </c>
      <c r="O7" s="71">
        <f>SUMIFS('CASH BOOK 2020'!$K:$K,'CASH BOOK 2020'!$B:$B,'CASHFLOW 2020'!O$1,'CASH BOOK 2020'!$D:$D,'CASHFLOW 2020'!$A7)</f>
        <v>0</v>
      </c>
      <c r="P7" s="69">
        <f t="shared" si="0"/>
        <v>1000</v>
      </c>
      <c r="Q7" s="70"/>
      <c r="T7" s="247"/>
    </row>
    <row r="8" spans="1:20" ht="15.5" x14ac:dyDescent="0.35">
      <c r="A8" s="9" t="s">
        <v>4</v>
      </c>
      <c r="C8" s="68"/>
      <c r="D8" s="71">
        <f>SUMIFS('CASH BOOK 2020'!$K:$K,'CASH BOOK 2020'!$B:$B,'CASHFLOW 2020'!D$1,'CASH BOOK 2020'!$D:$D,'CASHFLOW 2020'!$A8)</f>
        <v>0</v>
      </c>
      <c r="E8" s="71">
        <f>SUMIFS('CASH BOOK 2020'!$K:$K,'CASH BOOK 2020'!$B:$B,'CASHFLOW 2020'!E$1,'CASH BOOK 2020'!$D:$D,'CASHFLOW 2020'!$A8)</f>
        <v>0</v>
      </c>
      <c r="F8" s="71">
        <f>SUMIFS('CASH BOOK 2020'!$K:$K,'CASH BOOK 2020'!$B:$B,'CASHFLOW 2020'!F$1,'CASH BOOK 2020'!$D:$D,'CASHFLOW 2020'!$A8)</f>
        <v>0</v>
      </c>
      <c r="G8" s="71"/>
      <c r="H8" s="71">
        <f>SUMIFS('CASH BOOK 2020'!$K:$K,'CASH BOOK 2020'!$B:$B,'CASHFLOW 2020'!H$1,'CASH BOOK 2020'!$D:$D,'CASHFLOW 2020'!$A8)</f>
        <v>0</v>
      </c>
      <c r="I8" s="71">
        <f>SUMIFS('CASH BOOK 2020'!$K:$K,'CASH BOOK 2020'!$B:$B,'CASHFLOW 2020'!I$1,'CASH BOOK 2020'!$D:$D,'CASHFLOW 2020'!$A8)</f>
        <v>0</v>
      </c>
      <c r="J8" s="71">
        <f>SUMIFS('CASH BOOK 2020'!$K:$K,'CASH BOOK 2020'!$B:$B,'CASHFLOW 2020'!J$1,'CASH BOOK 2020'!$D:$D,'CASHFLOW 2020'!$A8)</f>
        <v>0</v>
      </c>
      <c r="K8" s="71">
        <f>SUMIFS('CASH BOOK 2020'!$K:$K,'CASH BOOK 2020'!$B:$B,'CASHFLOW 2020'!K$1,'CASH BOOK 2020'!$D:$D,'CASHFLOW 2020'!$A8)</f>
        <v>0</v>
      </c>
      <c r="L8" s="71">
        <f>SUMIFS('CASH BOOK 2020'!$K:$K,'CASH BOOK 2020'!$B:$B,'CASHFLOW 2020'!L$1,'CASH BOOK 2020'!$D:$D,'CASHFLOW 2020'!$A8)</f>
        <v>0</v>
      </c>
      <c r="M8" s="71">
        <f>SUMIFS('CASH BOOK 2020'!$K:$K,'CASH BOOK 2020'!$B:$B,'CASHFLOW 2020'!M$1,'CASH BOOK 2020'!$D:$D,'CASHFLOW 2020'!$A8)</f>
        <v>0</v>
      </c>
      <c r="N8" s="71">
        <f>SUMIFS('CASH BOOK 2020'!$K:$K,'CASH BOOK 2020'!$B:$B,'CASHFLOW 2020'!N$1,'CASH BOOK 2020'!$D:$D,'CASHFLOW 2020'!$A8)</f>
        <v>0</v>
      </c>
      <c r="O8" s="71">
        <f>SUMIFS('CASH BOOK 2020'!$K:$K,'CASH BOOK 2020'!$B:$B,'CASHFLOW 2020'!O$1,'CASH BOOK 2020'!$D:$D,'CASHFLOW 2020'!$A8)</f>
        <v>0</v>
      </c>
      <c r="P8" s="92">
        <f t="shared" si="0"/>
        <v>0</v>
      </c>
      <c r="Q8" s="70">
        <v>150</v>
      </c>
      <c r="T8" s="247"/>
    </row>
    <row r="9" spans="1:20" ht="15.5" x14ac:dyDescent="0.35">
      <c r="A9" s="9" t="s">
        <v>38</v>
      </c>
      <c r="C9" s="68"/>
      <c r="D9" s="71">
        <f>SUMIFS('CASH BOOK 2020'!$K:$K,'CASH BOOK 2020'!$B:$B,'CASHFLOW 2020'!D$1,'CASH BOOK 2020'!$D:$D,'CASHFLOW 2020'!$A9)</f>
        <v>0</v>
      </c>
      <c r="E9" s="71">
        <f>SUMIFS('CASH BOOK 2020'!$K:$K,'CASH BOOK 2020'!$B:$B,'CASHFLOW 2020'!E$1,'CASH BOOK 2020'!$D:$D,'CASHFLOW 2020'!$A9)</f>
        <v>0</v>
      </c>
      <c r="F9" s="71">
        <f>SUMIFS('CASH BOOK 2020'!$K:$K,'CASH BOOK 2020'!$B:$B,'CASHFLOW 2020'!F$1,'CASH BOOK 2020'!$D:$D,'CASHFLOW 2020'!$A9)</f>
        <v>0</v>
      </c>
      <c r="G9" s="71">
        <f>SUMIFS('CASH BOOK 2020'!$K:$K,'CASH BOOK 2020'!$B:$B,'CASHFLOW 2020'!G$1,'CASH BOOK 2020'!$D:$D,'CASHFLOW 2020'!$A9)</f>
        <v>0</v>
      </c>
      <c r="H9" s="71">
        <f>SUMIFS('CASH BOOK 2020'!$K:$K,'CASH BOOK 2020'!$B:$B,'CASHFLOW 2020'!H$1,'CASH BOOK 2020'!$D:$D,'CASHFLOW 2020'!$A9)</f>
        <v>0</v>
      </c>
      <c r="I9" s="71">
        <f>SUMIFS('CASH BOOK 2020'!$K:$K,'CASH BOOK 2020'!$B:$B,'CASHFLOW 2020'!I$1,'CASH BOOK 2020'!$D:$D,'CASHFLOW 2020'!$A9)</f>
        <v>0</v>
      </c>
      <c r="J9" s="71">
        <f>SUMIFS('CASH BOOK 2020'!$K:$K,'CASH BOOK 2020'!$B:$B,'CASHFLOW 2020'!J$1,'CASH BOOK 2020'!$D:$D,'CASHFLOW 2020'!$A9)</f>
        <v>0</v>
      </c>
      <c r="K9" s="71">
        <f>SUMIFS('CASH BOOK 2020'!$K:$K,'CASH BOOK 2020'!$B:$B,'CASHFLOW 2020'!K$1,'CASH BOOK 2020'!$D:$D,'CASHFLOW 2020'!$A9)</f>
        <v>0</v>
      </c>
      <c r="L9" s="71">
        <f>SUMIFS('CASH BOOK 2020'!$K:$K,'CASH BOOK 2020'!$B:$B,'CASHFLOW 2020'!L$1,'CASH BOOK 2020'!$D:$D,'CASHFLOW 2020'!$A9)</f>
        <v>0</v>
      </c>
      <c r="M9" s="71">
        <f>SUMIFS('CASH BOOK 2020'!$K:$K,'CASH BOOK 2020'!$B:$B,'CASHFLOW 2020'!M$1,'CASH BOOK 2020'!$D:$D,'CASHFLOW 2020'!$A9)</f>
        <v>0</v>
      </c>
      <c r="N9" s="71">
        <f>SUMIFS('CASH BOOK 2020'!$K:$K,'CASH BOOK 2020'!$B:$B,'CASHFLOW 2020'!N$1,'CASH BOOK 2020'!$D:$D,'CASHFLOW 2020'!$A9)</f>
        <v>0</v>
      </c>
      <c r="O9" s="71">
        <f>SUMIFS('CASH BOOK 2020'!$K:$K,'CASH BOOK 2020'!$B:$B,'CASHFLOW 2020'!O$1,'CASH BOOK 2020'!$D:$D,'CASHFLOW 2020'!$A9)</f>
        <v>0</v>
      </c>
      <c r="P9" s="69">
        <f t="shared" si="0"/>
        <v>0</v>
      </c>
      <c r="Q9" s="70">
        <v>0</v>
      </c>
      <c r="T9" s="247"/>
    </row>
    <row r="10" spans="1:20" ht="15.5" x14ac:dyDescent="0.35">
      <c r="A10" s="9" t="s">
        <v>5</v>
      </c>
      <c r="C10" s="68"/>
      <c r="D10" s="71">
        <f>SUMIFS('CASH BOOK 2020'!$K:$K,'CASH BOOK 2020'!$B:$B,'CASHFLOW 2020'!D$1,'CASH BOOK 2020'!$D:$D,'CASHFLOW 2020'!$A10)</f>
        <v>0</v>
      </c>
      <c r="E10" s="71">
        <f>SUMIFS('CASH BOOK 2020'!$K:$K,'CASH BOOK 2020'!$B:$B,'CASHFLOW 2020'!E$1,'CASH BOOK 2020'!$D:$D,'CASHFLOW 2020'!$A10)</f>
        <v>150</v>
      </c>
      <c r="F10" s="71">
        <f>SUMIFS('CASH BOOK 2020'!$K:$K,'CASH BOOK 2020'!$B:$B,'CASHFLOW 2020'!F$1,'CASH BOOK 2020'!$D:$D,'CASHFLOW 2020'!$A10)</f>
        <v>0</v>
      </c>
      <c r="G10" s="71">
        <f>SUMIFS('CASH BOOK 2020'!$K:$K,'CASH BOOK 2020'!$B:$B,'CASHFLOW 2020'!G$1,'CASH BOOK 2020'!$D:$D,'CASHFLOW 2020'!$A10)</f>
        <v>0</v>
      </c>
      <c r="H10" s="71">
        <f>SUMIFS('CASH BOOK 2020'!$K:$K,'CASH BOOK 2020'!$B:$B,'CASHFLOW 2020'!H$1,'CASH BOOK 2020'!$D:$D,'CASHFLOW 2020'!$A10)</f>
        <v>0</v>
      </c>
      <c r="I10" s="71">
        <f>SUMIFS('CASH BOOK 2020'!$K:$K,'CASH BOOK 2020'!$B:$B,'CASHFLOW 2020'!I$1,'CASH BOOK 2020'!$D:$D,'CASHFLOW 2020'!$A10)</f>
        <v>0</v>
      </c>
      <c r="J10" s="71">
        <f>SUMIFS('CASH BOOK 2020'!$K:$K,'CASH BOOK 2020'!$B:$B,'CASHFLOW 2020'!J$1,'CASH BOOK 2020'!$D:$D,'CASHFLOW 2020'!$A10)</f>
        <v>0</v>
      </c>
      <c r="K10" s="71">
        <f>SUMIFS('CASH BOOK 2020'!$K:$K,'CASH BOOK 2020'!$B:$B,'CASHFLOW 2020'!K$1,'CASH BOOK 2020'!$D:$D,'CASHFLOW 2020'!$A10)</f>
        <v>0</v>
      </c>
      <c r="L10" s="71">
        <f>SUMIFS('CASH BOOK 2020'!$K:$K,'CASH BOOK 2020'!$B:$B,'CASHFLOW 2020'!L$1,'CASH BOOK 2020'!$D:$D,'CASHFLOW 2020'!$A10)</f>
        <v>0</v>
      </c>
      <c r="M10" s="71">
        <f>SUMIFS('CASH BOOK 2020'!$K:$K,'CASH BOOK 2020'!$B:$B,'CASHFLOW 2020'!M$1,'CASH BOOK 2020'!$D:$D,'CASHFLOW 2020'!$A10)</f>
        <v>0</v>
      </c>
      <c r="N10" s="71">
        <f>SUMIFS('CASH BOOK 2020'!$K:$K,'CASH BOOK 2020'!$B:$B,'CASHFLOW 2020'!N$1,'CASH BOOK 2020'!$D:$D,'CASHFLOW 2020'!$A10)</f>
        <v>0</v>
      </c>
      <c r="O10" s="71">
        <f>SUMIFS('CASH BOOK 2020'!$K:$K,'CASH BOOK 2020'!$B:$B,'CASHFLOW 2020'!O$1,'CASH BOOK 2020'!$D:$D,'CASHFLOW 2020'!$A10)</f>
        <v>0</v>
      </c>
      <c r="P10" s="69">
        <f>SUM(D10:O10)</f>
        <v>150</v>
      </c>
      <c r="Q10" s="70">
        <v>500</v>
      </c>
      <c r="T10" s="247"/>
    </row>
    <row r="11" spans="1:20" ht="15.5" x14ac:dyDescent="0.35">
      <c r="T11" s="247"/>
    </row>
    <row r="12" spans="1:20" ht="15.5" x14ac:dyDescent="0.35">
      <c r="C12" s="68"/>
      <c r="D12" s="72">
        <f t="shared" ref="D12:Q12" si="1">SUM(D3:D10)</f>
        <v>9766.3100000000013</v>
      </c>
      <c r="E12" s="72">
        <f t="shared" si="1"/>
        <v>5769.58</v>
      </c>
      <c r="F12" s="72">
        <f t="shared" si="1"/>
        <v>486.2</v>
      </c>
      <c r="G12" s="72">
        <f t="shared" si="1"/>
        <v>-200</v>
      </c>
      <c r="H12" s="72">
        <f t="shared" si="1"/>
        <v>0</v>
      </c>
      <c r="I12" s="72">
        <f t="shared" si="1"/>
        <v>1000</v>
      </c>
      <c r="J12" s="72">
        <f t="shared" si="1"/>
        <v>50</v>
      </c>
      <c r="K12" s="72">
        <f t="shared" si="1"/>
        <v>90</v>
      </c>
      <c r="L12" s="72">
        <f t="shared" si="1"/>
        <v>80</v>
      </c>
      <c r="M12" s="72">
        <f t="shared" si="1"/>
        <v>4367.2</v>
      </c>
      <c r="N12" s="72">
        <f t="shared" si="1"/>
        <v>50</v>
      </c>
      <c r="O12" s="72">
        <f t="shared" si="1"/>
        <v>720.24</v>
      </c>
      <c r="P12" s="72">
        <f t="shared" si="1"/>
        <v>22179.530000000002</v>
      </c>
      <c r="Q12" s="73">
        <f t="shared" si="1"/>
        <v>25350</v>
      </c>
      <c r="T12" s="247"/>
    </row>
    <row r="13" spans="1:20" ht="15.5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  <c r="T13" s="247"/>
    </row>
    <row r="14" spans="1:20" ht="15.5" x14ac:dyDescent="0.35">
      <c r="A14" s="9" t="s">
        <v>40</v>
      </c>
      <c r="C14" s="68"/>
      <c r="D14" s="71">
        <f>SUMIFS('CASH BOOK 2020'!$K:$K,'CASH BOOK 2020'!$B:$B,'CASHFLOW 2020'!D$1,'CASH BOOK 2020'!$D:$D,'CASHFLOW 2020'!$A14)</f>
        <v>-446.37</v>
      </c>
      <c r="E14" s="71">
        <f>SUMIFS('CASH BOOK 2020'!$K:$K,'CASH BOOK 2020'!$B:$B,'CASHFLOW 2020'!E$1,'CASH BOOK 2020'!$D:$D,'CASHFLOW 2020'!$A14)</f>
        <v>-438</v>
      </c>
      <c r="F14" s="71">
        <f>SUMIFS('CASH BOOK 2020'!$K:$K,'CASH BOOK 2020'!$B:$B,'CASHFLOW 2020'!F$1,'CASH BOOK 2020'!$D:$D,'CASHFLOW 2020'!$A14)</f>
        <v>-90</v>
      </c>
      <c r="G14" s="71">
        <f>SUMIFS('CASH BOOK 2020'!$K:$K,'CASH BOOK 2020'!$B:$B,'CASHFLOW 2020'!G$1,'CASH BOOK 2020'!$D:$D,'CASHFLOW 2020'!$A14)</f>
        <v>-262.42</v>
      </c>
      <c r="H14" s="71">
        <f>SUMIFS('CASH BOOK 2020'!$K:$K,'CASH BOOK 2020'!$B:$B,'CASHFLOW 2020'!H$1,'CASH BOOK 2020'!$D:$D,'CASHFLOW 2020'!$A14)</f>
        <v>-984</v>
      </c>
      <c r="I14" s="71">
        <f>SUMIFS('CASH BOOK 2020'!$K:$K,'CASH BOOK 2020'!$B:$B,'CASHFLOW 2020'!I$1,'CASH BOOK 2020'!$D:$D,'CASHFLOW 2020'!$A14)</f>
        <v>-660</v>
      </c>
      <c r="J14" s="71">
        <f>SUMIFS('CASH BOOK 2020'!$K:$K,'CASH BOOK 2020'!$B:$B,'CASHFLOW 2020'!J$1,'CASH BOOK 2020'!$D:$D,'CASHFLOW 2020'!$A14)</f>
        <v>-412.36</v>
      </c>
      <c r="K14" s="71">
        <f>SUMIFS('CASH BOOK 2020'!$K:$K,'CASH BOOK 2020'!$B:$B,'CASHFLOW 2020'!K$1,'CASH BOOK 2020'!$D:$D,'CASHFLOW 2020'!$A14)</f>
        <v>-90</v>
      </c>
      <c r="L14" s="71">
        <f>SUMIFS('CASH BOOK 2020'!$K:$K,'CASH BOOK 2020'!$B:$B,'CASHFLOW 2020'!L$1,'CASH BOOK 2020'!$D:$D,'CASHFLOW 2020'!$A14)</f>
        <v>-155.59</v>
      </c>
      <c r="M14" s="71">
        <f>SUMIFS('CASH BOOK 2020'!$K:$K,'CASH BOOK 2020'!$B:$B,'CASHFLOW 2020'!M$1,'CASH BOOK 2020'!$D:$D,'CASHFLOW 2020'!$A14)</f>
        <v>-305.11</v>
      </c>
      <c r="N14" s="71">
        <f>SUMIFS('CASH BOOK 2020'!$K:$K,'CASH BOOK 2020'!$B:$B,'CASHFLOW 2020'!N$1,'CASH BOOK 2020'!$D:$D,'CASHFLOW 2020'!$A14)</f>
        <v>0</v>
      </c>
      <c r="O14" s="71">
        <f>SUMIFS('CASH BOOK 2020'!$K:$K,'CASH BOOK 2020'!$B:$B,'CASHFLOW 2020'!O$1,'CASH BOOK 2020'!$D:$D,'CASHFLOW 2020'!$A14)</f>
        <v>0</v>
      </c>
      <c r="P14" s="69">
        <f t="shared" ref="P14:P29" si="2">SUM(D14:O14)</f>
        <v>-3843.8500000000004</v>
      </c>
      <c r="Q14" s="70">
        <v>5000</v>
      </c>
      <c r="T14" s="251"/>
    </row>
    <row r="15" spans="1:20" ht="15.5" x14ac:dyDescent="0.35">
      <c r="A15" s="9" t="s">
        <v>85</v>
      </c>
      <c r="C15" s="68"/>
      <c r="D15" s="71">
        <f>SUMIFS('CASH BOOK 2020'!$K:$K,'CASH BOOK 2020'!$B:$B,'CASHFLOW 2020'!D$1,'CASH BOOK 2020'!$D:$D,'CASHFLOW 2020'!$A15)</f>
        <v>0</v>
      </c>
      <c r="E15" s="71">
        <f>SUMIFS('CASH BOOK 2020'!$K:$K,'CASH BOOK 2020'!$B:$B,'CASHFLOW 2020'!E$1,'CASH BOOK 2020'!$D:$D,'CASHFLOW 2020'!$A15)</f>
        <v>0</v>
      </c>
      <c r="F15" s="71">
        <f>SUMIFS('CASH BOOK 2020'!$K:$K,'CASH BOOK 2020'!$B:$B,'CASHFLOW 2020'!F$1,'CASH BOOK 2020'!$D:$D,'CASHFLOW 2020'!$A15)</f>
        <v>0</v>
      </c>
      <c r="G15" s="71">
        <f>SUMIFS('CASH BOOK 2020'!$K:$K,'CASH BOOK 2020'!$B:$B,'CASHFLOW 2020'!G$1,'CASH BOOK 2020'!$D:$D,'CASHFLOW 2020'!$A15)</f>
        <v>0</v>
      </c>
      <c r="H15" s="71">
        <f>SUMIFS('CASH BOOK 2020'!$K:$K,'CASH BOOK 2020'!$B:$B,'CASHFLOW 2020'!H$1,'CASH BOOK 2020'!$D:$D,'CASHFLOW 2020'!$A15)</f>
        <v>0</v>
      </c>
      <c r="I15" s="71">
        <f>SUMIFS('CASH BOOK 2020'!$K:$K,'CASH BOOK 2020'!$B:$B,'CASHFLOW 2020'!I$1,'CASH BOOK 2020'!$D:$D,'CASHFLOW 2020'!$A15)</f>
        <v>0</v>
      </c>
      <c r="J15" s="71">
        <f>SUMIFS('CASH BOOK 2020'!$K:$K,'CASH BOOK 2020'!$B:$B,'CASHFLOW 2020'!J$1,'CASH BOOK 2020'!$D:$D,'CASHFLOW 2020'!$A15)</f>
        <v>0</v>
      </c>
      <c r="K15" s="71">
        <f>SUMIFS('CASH BOOK 2020'!$K:$K,'CASH BOOK 2020'!$B:$B,'CASHFLOW 2020'!K$1,'CASH BOOK 2020'!$D:$D,'CASHFLOW 2020'!$A15)</f>
        <v>0</v>
      </c>
      <c r="L15" s="71">
        <f>SUMIFS('CASH BOOK 2020'!$K:$K,'CASH BOOK 2020'!$B:$B,'CASHFLOW 2020'!L$1,'CASH BOOK 2020'!$D:$D,'CASHFLOW 2020'!$A15)</f>
        <v>0</v>
      </c>
      <c r="M15" s="71">
        <f>SUMIFS('CASH BOOK 2020'!$K:$K,'CASH BOOK 2020'!$B:$B,'CASHFLOW 2020'!M$1,'CASH BOOK 2020'!$D:$D,'CASHFLOW 2020'!$A15)</f>
        <v>0</v>
      </c>
      <c r="N15" s="71">
        <f>SUMIFS('CASH BOOK 2020'!$K:$K,'CASH BOOK 2020'!$B:$B,'CASHFLOW 2020'!N$1,'CASH BOOK 2020'!$D:$D,'CASHFLOW 2020'!$A15)</f>
        <v>0</v>
      </c>
      <c r="O15" s="71">
        <f>SUMIFS('CASH BOOK 2020'!$K:$K,'CASH BOOK 2020'!$B:$B,'CASHFLOW 2020'!O$1,'CASH BOOK 2020'!$D:$D,'CASHFLOW 2020'!$A15)</f>
        <v>0</v>
      </c>
      <c r="P15" s="69">
        <f t="shared" si="2"/>
        <v>0</v>
      </c>
      <c r="Q15" s="70">
        <v>0</v>
      </c>
      <c r="T15" s="247"/>
    </row>
    <row r="16" spans="1:20" ht="15.5" x14ac:dyDescent="0.35">
      <c r="A16" s="9" t="s">
        <v>77</v>
      </c>
      <c r="C16" s="68"/>
      <c r="D16" s="71">
        <f>SUMIFS('CASH BOOK 2020'!$K:$K,'CASH BOOK 2020'!$B:$B,'CASHFLOW 2020'!D$1,'CASH BOOK 2020'!$D:$D,'CASHFLOW 2020'!$A16)</f>
        <v>0</v>
      </c>
      <c r="E16" s="71">
        <f>SUMIFS('CASH BOOK 2020'!$K:$K,'CASH BOOK 2020'!$B:$B,'CASHFLOW 2020'!E$1,'CASH BOOK 2020'!$D:$D,'CASHFLOW 2020'!$A16)</f>
        <v>0</v>
      </c>
      <c r="F16" s="71">
        <f>SUMIFS('CASH BOOK 2020'!$K:$K,'CASH BOOK 2020'!$B:$B,'CASHFLOW 2020'!F$1,'CASH BOOK 2020'!$D:$D,'CASHFLOW 2020'!$A16)</f>
        <v>0</v>
      </c>
      <c r="G16" s="71">
        <f>SUMIFS('CASH BOOK 2020'!$K:$K,'CASH BOOK 2020'!$B:$B,'CASHFLOW 2020'!G$1,'CASH BOOK 2020'!$D:$D,'CASHFLOW 2020'!$A16)</f>
        <v>0</v>
      </c>
      <c r="H16" s="71">
        <f>SUMIFS('CASH BOOK 2020'!$K:$K,'CASH BOOK 2020'!$B:$B,'CASHFLOW 2020'!H$1,'CASH BOOK 2020'!$D:$D,'CASHFLOW 2020'!$A16)</f>
        <v>0</v>
      </c>
      <c r="I16" s="71">
        <f>SUMIFS('CASH BOOK 2020'!$K:$K,'CASH BOOK 2020'!$B:$B,'CASHFLOW 2020'!I$1,'CASH BOOK 2020'!$D:$D,'CASHFLOW 2020'!$A16)</f>
        <v>0</v>
      </c>
      <c r="J16" s="71">
        <f>SUMIFS('CASH BOOK 2020'!$K:$K,'CASH BOOK 2020'!$B:$B,'CASHFLOW 2020'!J$1,'CASH BOOK 2020'!$D:$D,'CASHFLOW 2020'!$A16)</f>
        <v>0</v>
      </c>
      <c r="K16" s="71">
        <f>SUMIFS('CASH BOOK 2020'!$K:$K,'CASH BOOK 2020'!$B:$B,'CASHFLOW 2020'!K$1,'CASH BOOK 2020'!$D:$D,'CASHFLOW 2020'!$A16)</f>
        <v>0</v>
      </c>
      <c r="L16" s="71">
        <f>SUMIFS('CASH BOOK 2020'!$K:$K,'CASH BOOK 2020'!$B:$B,'CASHFLOW 2020'!L$1,'CASH BOOK 2020'!$D:$D,'CASHFLOW 2020'!$A16)</f>
        <v>0</v>
      </c>
      <c r="M16" s="71">
        <f>SUMIFS('CASH BOOK 2020'!$K:$K,'CASH BOOK 2020'!$B:$B,'CASHFLOW 2020'!M$1,'CASH BOOK 2020'!$D:$D,'CASHFLOW 2020'!$A16)</f>
        <v>0</v>
      </c>
      <c r="N16" s="71">
        <f>SUMIFS('CASH BOOK 2020'!$K:$K,'CASH BOOK 2020'!$B:$B,'CASHFLOW 2020'!N$1,'CASH BOOK 2020'!$D:$D,'CASHFLOW 2020'!$A16)</f>
        <v>0</v>
      </c>
      <c r="O16" s="71">
        <f>SUMIFS('CASH BOOK 2020'!$K:$K,'CASH BOOK 2020'!$B:$B,'CASHFLOW 2020'!O$1,'CASH BOOK 2020'!$D:$D,'CASHFLOW 2020'!$A16)</f>
        <v>0</v>
      </c>
      <c r="P16" s="69">
        <f t="shared" si="2"/>
        <v>0</v>
      </c>
      <c r="Q16" s="70">
        <v>0</v>
      </c>
      <c r="T16" s="247"/>
    </row>
    <row r="17" spans="1:20" ht="15.5" x14ac:dyDescent="0.35">
      <c r="A17" s="9" t="s">
        <v>320</v>
      </c>
      <c r="C17" s="68"/>
      <c r="D17" s="71">
        <f>SUMIFS('CASH BOOK 2020'!$K:$K,'CASH BOOK 2020'!$B:$B,'CASHFLOW 2020'!D$1,'CASH BOOK 2020'!$D:$D,'CASHFLOW 2020'!$A17)</f>
        <v>0</v>
      </c>
      <c r="E17" s="71">
        <f>SUMIFS('CASH BOOK 2020'!$K:$K,'CASH BOOK 2020'!$B:$B,'CASHFLOW 2020'!E$1,'CASH BOOK 2020'!$D:$D,'CASHFLOW 2020'!$A17)</f>
        <v>0</v>
      </c>
      <c r="F17" s="71">
        <f>SUMIFS('CASH BOOK 2020'!$K:$K,'CASH BOOK 2020'!$B:$B,'CASHFLOW 2020'!F$1,'CASH BOOK 2020'!$D:$D,'CASHFLOW 2020'!$A17)</f>
        <v>0</v>
      </c>
      <c r="G17" s="71">
        <f>SUMIFS('CASH BOOK 2020'!$K:$K,'CASH BOOK 2020'!$B:$B,'CASHFLOW 2020'!G$1,'CASH BOOK 2020'!$D:$D,'CASHFLOW 2020'!$A17)</f>
        <v>0</v>
      </c>
      <c r="H17" s="71">
        <f>SUMIFS('CASH BOOK 2020'!$K:$K,'CASH BOOK 2020'!$B:$B,'CASHFLOW 2020'!H$1,'CASH BOOK 2020'!$D:$D,'CASHFLOW 2020'!$A17)</f>
        <v>0</v>
      </c>
      <c r="I17" s="71">
        <f>SUMIFS('CASH BOOK 2020'!$K:$K,'CASH BOOK 2020'!$B:$B,'CASHFLOW 2020'!I$1,'CASH BOOK 2020'!$D:$D,'CASHFLOW 2020'!$A17)</f>
        <v>0</v>
      </c>
      <c r="J17" s="71">
        <f>SUMIFS('CASH BOOK 2020'!$K:$K,'CASH BOOK 2020'!$B:$B,'CASHFLOW 2020'!J$1,'CASH BOOK 2020'!$D:$D,'CASHFLOW 2020'!$A17)</f>
        <v>0</v>
      </c>
      <c r="K17" s="71">
        <f>SUMIFS('CASH BOOK 2020'!$K:$K,'CASH BOOK 2020'!$B:$B,'CASHFLOW 2020'!K$1,'CASH BOOK 2020'!$D:$D,'CASHFLOW 2020'!$A17)</f>
        <v>0</v>
      </c>
      <c r="L17" s="71">
        <f>SUMIFS('CASH BOOK 2020'!$K:$K,'CASH BOOK 2020'!$B:$B,'CASHFLOW 2020'!L$1,'CASH BOOK 2020'!$D:$D,'CASHFLOW 2020'!$A17)</f>
        <v>0</v>
      </c>
      <c r="M17" s="71">
        <f>SUMIFS('CASH BOOK 2020'!$K:$K,'CASH BOOK 2020'!$B:$B,'CASHFLOW 2020'!M$1,'CASH BOOK 2020'!$D:$D,'CASHFLOW 2020'!$A17)</f>
        <v>0</v>
      </c>
      <c r="N17" s="71">
        <f>SUMIFS('CASH BOOK 2020'!$K:$K,'CASH BOOK 2020'!$B:$B,'CASHFLOW 2020'!N$1,'CASH BOOK 2020'!$D:$D,'CASHFLOW 2020'!$A17)</f>
        <v>0</v>
      </c>
      <c r="O17" s="71">
        <f>SUMIFS('CASH BOOK 2020'!$K:$K,'CASH BOOK 2020'!$B:$B,'CASHFLOW 2020'!O$1,'CASH BOOK 2020'!$D:$D,'CASHFLOW 2020'!$A17)</f>
        <v>0</v>
      </c>
      <c r="P17" s="69">
        <f t="shared" si="2"/>
        <v>0</v>
      </c>
      <c r="Q17" s="70"/>
      <c r="T17" s="247"/>
    </row>
    <row r="18" spans="1:20" ht="15.5" x14ac:dyDescent="0.35">
      <c r="A18" s="9" t="s">
        <v>8</v>
      </c>
      <c r="C18" s="68"/>
      <c r="D18" s="71">
        <f>SUMIFS('CASH BOOK 2020'!$K:$K,'CASH BOOK 2020'!$B:$B,'CASHFLOW 2020'!D$1,'CASH BOOK 2020'!$D:$D,'CASHFLOW 2020'!$A18)</f>
        <v>0</v>
      </c>
      <c r="E18" s="71">
        <f>SUMIFS('CASH BOOK 2020'!$K:$K,'CASH BOOK 2020'!$B:$B,'CASHFLOW 2020'!E$1,'CASH BOOK 2020'!$D:$D,'CASHFLOW 2020'!$A18)</f>
        <v>-1566.25</v>
      </c>
      <c r="F18" s="71">
        <f>SUMIFS('CASH BOOK 2020'!$K:$K,'CASH BOOK 2020'!$B:$B,'CASHFLOW 2020'!F$1,'CASH BOOK 2020'!$D:$D,'CASHFLOW 2020'!$A18)</f>
        <v>0</v>
      </c>
      <c r="G18" s="71">
        <f>SUMIFS('CASH BOOK 2020'!$K:$K,'CASH BOOK 2020'!$B:$B,'CASHFLOW 2020'!G$1,'CASH BOOK 2020'!$D:$D,'CASHFLOW 2020'!$A18)</f>
        <v>-802.91</v>
      </c>
      <c r="H18" s="71">
        <f>SUMIFS('CASH BOOK 2020'!$K:$K,'CASH BOOK 2020'!$B:$B,'CASHFLOW 2020'!H$1,'CASH BOOK 2020'!$D:$D,'CASHFLOW 2020'!$A18)</f>
        <v>0</v>
      </c>
      <c r="I18" s="71">
        <f>SUMIFS('CASH BOOK 2020'!$K:$K,'CASH BOOK 2020'!$B:$B,'CASHFLOW 2020'!I$1,'CASH BOOK 2020'!$D:$D,'CASHFLOW 2020'!$A18)</f>
        <v>0</v>
      </c>
      <c r="J18" s="71">
        <f>SUMIFS('CASH BOOK 2020'!$K:$K,'CASH BOOK 2020'!$B:$B,'CASHFLOW 2020'!J$1,'CASH BOOK 2020'!$D:$D,'CASHFLOW 2020'!$A18)</f>
        <v>0</v>
      </c>
      <c r="K18" s="71">
        <f>SUMIFS('CASH BOOK 2020'!$K:$K,'CASH BOOK 2020'!$B:$B,'CASHFLOW 2020'!K$1,'CASH BOOK 2020'!$D:$D,'CASHFLOW 2020'!$A18)</f>
        <v>-359.62</v>
      </c>
      <c r="L18" s="71">
        <f>SUMIFS('CASH BOOK 2020'!$K:$K,'CASH BOOK 2020'!$B:$B,'CASHFLOW 2020'!L$1,'CASH BOOK 2020'!$D:$D,'CASHFLOW 2020'!$A18)</f>
        <v>0</v>
      </c>
      <c r="M18" s="71">
        <f>SUMIFS('CASH BOOK 2020'!$K:$K,'CASH BOOK 2020'!$B:$B,'CASHFLOW 2020'!M$1,'CASH BOOK 2020'!$D:$D,'CASHFLOW 2020'!$A18)</f>
        <v>0</v>
      </c>
      <c r="N18" s="71">
        <f>SUMIFS('CASH BOOK 2020'!$K:$K,'CASH BOOK 2020'!$B:$B,'CASHFLOW 2020'!N$1,'CASH BOOK 2020'!$D:$D,'CASHFLOW 2020'!$A18)</f>
        <v>-364.3</v>
      </c>
      <c r="O18" s="71">
        <f>SUMIFS('CASH BOOK 2020'!$K:$K,'CASH BOOK 2020'!$B:$B,'CASHFLOW 2020'!O$1,'CASH BOOK 2020'!$D:$D,'CASHFLOW 2020'!$A18)</f>
        <v>-370.14</v>
      </c>
      <c r="P18" s="69">
        <f t="shared" si="2"/>
        <v>-3463.22</v>
      </c>
      <c r="Q18" s="70">
        <v>3000</v>
      </c>
      <c r="T18" s="247"/>
    </row>
    <row r="19" spans="1:20" ht="15.5" x14ac:dyDescent="0.35">
      <c r="A19" s="9" t="s">
        <v>9</v>
      </c>
      <c r="C19" s="68"/>
      <c r="D19" s="71">
        <f>SUMIFS('CASH BOOK 2020'!$K:$K,'CASH BOOK 2020'!$B:$B,'CASHFLOW 2020'!D$1,'CASH BOOK 2020'!$D:$D,'CASHFLOW 2020'!$A19)</f>
        <v>-143.04</v>
      </c>
      <c r="E19" s="71">
        <f>SUMIFS('CASH BOOK 2020'!$K:$K,'CASH BOOK 2020'!$B:$B,'CASHFLOW 2020'!E$1,'CASH BOOK 2020'!$D:$D,'CASHFLOW 2020'!$A19)</f>
        <v>-151.36000000000001</v>
      </c>
      <c r="F19" s="71">
        <f>SUMIFS('CASH BOOK 2020'!$K:$K,'CASH BOOK 2020'!$B:$B,'CASHFLOW 2020'!F$1,'CASH BOOK 2020'!$D:$D,'CASHFLOW 2020'!$A19)</f>
        <v>-144.22999999999999</v>
      </c>
      <c r="G19" s="71">
        <f>SUMIFS('CASH BOOK 2020'!$K:$K,'CASH BOOK 2020'!$B:$B,'CASHFLOW 2020'!G$1,'CASH BOOK 2020'!$D:$D,'CASHFLOW 2020'!$A19)</f>
        <v>-145.12</v>
      </c>
      <c r="H19" s="71">
        <f>SUMIFS('CASH BOOK 2020'!$K:$K,'CASH BOOK 2020'!$B:$B,'CASHFLOW 2020'!H$1,'CASH BOOK 2020'!$D:$D,'CASHFLOW 2020'!$A19)</f>
        <v>-118.28</v>
      </c>
      <c r="I19" s="71">
        <f>SUMIFS('CASH BOOK 2020'!$K:$K,'CASH BOOK 2020'!$B:$B,'CASHFLOW 2020'!I$1,'CASH BOOK 2020'!$D:$D,'CASHFLOW 2020'!$A19)</f>
        <v>-114.28</v>
      </c>
      <c r="J19" s="71">
        <f>SUMIFS('CASH BOOK 2020'!$K:$K,'CASH BOOK 2020'!$B:$B,'CASHFLOW 2020'!J$1,'CASH BOOK 2020'!$D:$D,'CASHFLOW 2020'!$A19)</f>
        <v>-115.84</v>
      </c>
      <c r="K19" s="71">
        <f>SUMIFS('CASH BOOK 2020'!$K:$K,'CASH BOOK 2020'!$B:$B,'CASHFLOW 2020'!K$1,'CASH BOOK 2020'!$D:$D,'CASHFLOW 2020'!$A19)</f>
        <v>-115.36</v>
      </c>
      <c r="L19" s="71">
        <f>SUMIFS('CASH BOOK 2020'!$K:$K,'CASH BOOK 2020'!$B:$B,'CASHFLOW 2020'!L$1,'CASH BOOK 2020'!$D:$D,'CASHFLOW 2020'!$A19)</f>
        <v>304.42</v>
      </c>
      <c r="M19" s="71">
        <f>SUMIFS('CASH BOOK 2020'!$K:$K,'CASH BOOK 2020'!$B:$B,'CASHFLOW 2020'!M$1,'CASH BOOK 2020'!$D:$D,'CASHFLOW 2020'!$A19)</f>
        <v>0</v>
      </c>
      <c r="N19" s="71">
        <f>SUMIFS('CASH BOOK 2020'!$K:$K,'CASH BOOK 2020'!$B:$B,'CASHFLOW 2020'!N$1,'CASH BOOK 2020'!$D:$D,'CASHFLOW 2020'!$A19)</f>
        <v>-131.23000000000002</v>
      </c>
      <c r="O19" s="71">
        <f>SUMIFS('CASH BOOK 2020'!$K:$K,'CASH BOOK 2020'!$B:$B,'CASHFLOW 2020'!O$1,'CASH BOOK 2020'!$D:$D,'CASHFLOW 2020'!$A19)</f>
        <v>-86.429999999999993</v>
      </c>
      <c r="P19" s="69">
        <f t="shared" si="2"/>
        <v>-960.74999999999989</v>
      </c>
      <c r="Q19" s="70">
        <v>1400</v>
      </c>
      <c r="T19" s="247"/>
    </row>
    <row r="20" spans="1:20" ht="15.5" x14ac:dyDescent="0.35">
      <c r="A20" s="9" t="s">
        <v>301</v>
      </c>
      <c r="C20" s="68"/>
      <c r="D20" s="71">
        <f>SUMIFS('CASH BOOK 2020'!$K:$K,'CASH BOOK 2020'!$B:$B,'CASHFLOW 2020'!D$1,'CASH BOOK 2020'!$D:$D,'CASHFLOW 2020'!$A20)</f>
        <v>-37.68</v>
      </c>
      <c r="E20" s="71">
        <f>SUMIFS('CASH BOOK 2020'!$K:$K,'CASH BOOK 2020'!$B:$B,'CASHFLOW 2020'!E$1,'CASH BOOK 2020'!$D:$D,'CASHFLOW 2020'!$A20)</f>
        <v>-37.68</v>
      </c>
      <c r="F20" s="71">
        <f>SUMIFS('CASH BOOK 2020'!$K:$K,'CASH BOOK 2020'!$B:$B,'CASHFLOW 2020'!F$1,'CASH BOOK 2020'!$D:$D,'CASHFLOW 2020'!$A20)</f>
        <v>-37.68</v>
      </c>
      <c r="G20" s="71">
        <f>SUMIFS('CASH BOOK 2020'!$K:$K,'CASH BOOK 2020'!$B:$B,'CASHFLOW 2020'!G$1,'CASH BOOK 2020'!$D:$D,'CASHFLOW 2020'!$A20)</f>
        <v>-39</v>
      </c>
      <c r="H20" s="71">
        <f>SUMIFS('CASH BOOK 2020'!$K:$K,'CASH BOOK 2020'!$B:$B,'CASHFLOW 2020'!H$1,'CASH BOOK 2020'!$D:$D,'CASHFLOW 2020'!$A20)</f>
        <v>-39</v>
      </c>
      <c r="I20" s="71">
        <f>SUMIFS('CASH BOOK 2020'!$K:$K,'CASH BOOK 2020'!$B:$B,'CASHFLOW 2020'!I$1,'CASH BOOK 2020'!$D:$D,'CASHFLOW 2020'!$A20)</f>
        <v>-39</v>
      </c>
      <c r="J20" s="71">
        <f>SUMIFS('CASH BOOK 2020'!$K:$K,'CASH BOOK 2020'!$B:$B,'CASHFLOW 2020'!J$1,'CASH BOOK 2020'!$D:$D,'CASHFLOW 2020'!$A20)</f>
        <v>-39</v>
      </c>
      <c r="K20" s="71">
        <f>SUMIFS('CASH BOOK 2020'!$K:$K,'CASH BOOK 2020'!$B:$B,'CASHFLOW 2020'!K$1,'CASH BOOK 2020'!$D:$D,'CASHFLOW 2020'!$A20)</f>
        <v>-39</v>
      </c>
      <c r="L20" s="71">
        <f>SUMIFS('CASH BOOK 2020'!$K:$K,'CASH BOOK 2020'!$B:$B,'CASHFLOW 2020'!L$1,'CASH BOOK 2020'!$D:$D,'CASHFLOW 2020'!$A20)</f>
        <v>-38.229999999999997</v>
      </c>
      <c r="M20" s="71">
        <f>SUMIFS('CASH BOOK 2020'!$K:$K,'CASH BOOK 2020'!$B:$B,'CASHFLOW 2020'!M$1,'CASH BOOK 2020'!$D:$D,'CASHFLOW 2020'!$A20)</f>
        <v>-39</v>
      </c>
      <c r="N20" s="71">
        <f>SUMIFS('CASH BOOK 2020'!$K:$K,'CASH BOOK 2020'!$B:$B,'CASHFLOW 2020'!N$1,'CASH BOOK 2020'!$D:$D,'CASHFLOW 2020'!$A20)</f>
        <v>-55.15</v>
      </c>
      <c r="O20" s="71">
        <f>SUMIFS('CASH BOOK 2020'!$K:$K,'CASH BOOK 2020'!$B:$B,'CASHFLOW 2020'!O$1,'CASH BOOK 2020'!$D:$D,'CASHFLOW 2020'!$A20)</f>
        <v>-44.94</v>
      </c>
      <c r="P20" s="69">
        <f t="shared" si="2"/>
        <v>-485.35999999999996</v>
      </c>
      <c r="Q20" s="70">
        <v>450</v>
      </c>
      <c r="T20" s="247"/>
    </row>
    <row r="21" spans="1:20" ht="15.5" x14ac:dyDescent="0.35">
      <c r="A21" s="9" t="s">
        <v>86</v>
      </c>
      <c r="C21" s="68"/>
      <c r="D21" s="71">
        <f>SUMIFS('CASH BOOK 2020'!$K:$K,'CASH BOOK 2020'!$B:$B,'CASHFLOW 2020'!D$1,'CASH BOOK 2020'!$D:$D,'CASHFLOW 2020'!$A21)</f>
        <v>0</v>
      </c>
      <c r="E21" s="71">
        <f>SUMIFS('CASH BOOK 2020'!$K:$K,'CASH BOOK 2020'!$B:$B,'CASHFLOW 2020'!E$1,'CASH BOOK 2020'!$D:$D,'CASHFLOW 2020'!$A21)</f>
        <v>0</v>
      </c>
      <c r="F21" s="71">
        <f>SUMIFS('CASH BOOK 2020'!$K:$K,'CASH BOOK 2020'!$B:$B,'CASHFLOW 2020'!F$1,'CASH BOOK 2020'!$D:$D,'CASHFLOW 2020'!$A21)</f>
        <v>-100</v>
      </c>
      <c r="G21" s="71">
        <f>SUMIFS('CASH BOOK 2020'!$K:$K,'CASH BOOK 2020'!$B:$B,'CASHFLOW 2020'!G$1,'CASH BOOK 2020'!$D:$D,'CASHFLOW 2020'!$A21)</f>
        <v>0</v>
      </c>
      <c r="H21" s="71">
        <f>SUMIFS('CASH BOOK 2020'!$K:$K,'CASH BOOK 2020'!$B:$B,'CASHFLOW 2020'!H$1,'CASH BOOK 2020'!$D:$D,'CASHFLOW 2020'!$A21)</f>
        <v>0</v>
      </c>
      <c r="I21" s="71">
        <f>SUMIFS('CASH BOOK 2020'!$K:$K,'CASH BOOK 2020'!$B:$B,'CASHFLOW 2020'!I$1,'CASH BOOK 2020'!$D:$D,'CASHFLOW 2020'!$A21)</f>
        <v>0</v>
      </c>
      <c r="J21" s="71">
        <f>SUMIFS('CASH BOOK 2020'!$K:$K,'CASH BOOK 2020'!$B:$B,'CASHFLOW 2020'!J$1,'CASH BOOK 2020'!$D:$D,'CASHFLOW 2020'!$A21)</f>
        <v>0</v>
      </c>
      <c r="K21" s="71">
        <f>SUMIFS('CASH BOOK 2020'!$K:$K,'CASH BOOK 2020'!$B:$B,'CASHFLOW 2020'!K$1,'CASH BOOK 2020'!$D:$D,'CASHFLOW 2020'!$A21)</f>
        <v>0</v>
      </c>
      <c r="L21" s="71">
        <f>SUMIFS('CASH BOOK 2020'!$K:$K,'CASH BOOK 2020'!$B:$B,'CASHFLOW 2020'!L$1,'CASH BOOK 2020'!$D:$D,'CASHFLOW 2020'!$A21)</f>
        <v>0</v>
      </c>
      <c r="M21" s="71">
        <f>SUMIFS('CASH BOOK 2020'!$K:$K,'CASH BOOK 2020'!$B:$B,'CASHFLOW 2020'!M$1,'CASH BOOK 2020'!$D:$D,'CASHFLOW 2020'!$A21)</f>
        <v>0</v>
      </c>
      <c r="N21" s="71">
        <f>SUMIFS('CASH BOOK 2020'!$K:$K,'CASH BOOK 2020'!$B:$B,'CASHFLOW 2020'!N$1,'CASH BOOK 2020'!$D:$D,'CASHFLOW 2020'!$A21)</f>
        <v>0</v>
      </c>
      <c r="O21" s="71">
        <f>SUMIFS('CASH BOOK 2020'!$K:$K,'CASH BOOK 2020'!$B:$B,'CASHFLOW 2020'!O$1,'CASH BOOK 2020'!$D:$D,'CASHFLOW 2020'!$A21)</f>
        <v>0</v>
      </c>
      <c r="P21" s="69">
        <f>SUM(D21:O21)</f>
        <v>-100</v>
      </c>
      <c r="Q21" s="70">
        <v>-100</v>
      </c>
      <c r="T21" s="247"/>
    </row>
    <row r="22" spans="1:20" ht="15.5" x14ac:dyDescent="0.35">
      <c r="A22" s="9" t="s">
        <v>10</v>
      </c>
      <c r="C22" s="68"/>
      <c r="D22" s="71">
        <f>SUMIFS('CASH BOOK 2020'!$K:$K,'CASH BOOK 2020'!$B:$B,'CASHFLOW 2020'!D$1,'CASH BOOK 2020'!$D:$D,'CASHFLOW 2020'!$A22)</f>
        <v>0</v>
      </c>
      <c r="E22" s="71">
        <f>SUMIFS('CASH BOOK 2020'!$K:$K,'CASH BOOK 2020'!$B:$B,'CASHFLOW 2020'!E$1,'CASH BOOK 2020'!$D:$D,'CASHFLOW 2020'!$A22)</f>
        <v>0</v>
      </c>
      <c r="F22" s="71">
        <f>SUMIFS('CASH BOOK 2020'!$K:$K,'CASH BOOK 2020'!$B:$B,'CASHFLOW 2020'!F$1,'CASH BOOK 2020'!$D:$D,'CASHFLOW 2020'!$A22)</f>
        <v>0</v>
      </c>
      <c r="G22" s="71">
        <f>SUMIFS('CASH BOOK 2020'!$K:$K,'CASH BOOK 2020'!$B:$B,'CASHFLOW 2020'!G$1,'CASH BOOK 2020'!$D:$D,'CASHFLOW 2020'!$A22)</f>
        <v>0</v>
      </c>
      <c r="H22" s="71">
        <f>SUMIFS('CASH BOOK 2020'!$K:$K,'CASH BOOK 2020'!$B:$B,'CASHFLOW 2020'!H$1,'CASH BOOK 2020'!$D:$D,'CASHFLOW 2020'!$A22)</f>
        <v>0</v>
      </c>
      <c r="I22" s="71">
        <f>SUMIFS('CASH BOOK 2020'!$K:$K,'CASH BOOK 2020'!$B:$B,'CASHFLOW 2020'!I$1,'CASH BOOK 2020'!$D:$D,'CASHFLOW 2020'!$A22)</f>
        <v>0</v>
      </c>
      <c r="J22" s="71">
        <f>SUMIFS('CASH BOOK 2020'!$K:$K,'CASH BOOK 2020'!$B:$B,'CASHFLOW 2020'!J$1,'CASH BOOK 2020'!$D:$D,'CASHFLOW 2020'!$A22)</f>
        <v>0</v>
      </c>
      <c r="K22" s="71">
        <f>SUMIFS('CASH BOOK 2020'!$K:$K,'CASH BOOK 2020'!$B:$B,'CASHFLOW 2020'!K$1,'CASH BOOK 2020'!$D:$D,'CASHFLOW 2020'!$A22)</f>
        <v>0</v>
      </c>
      <c r="L22" s="71">
        <f>SUMIFS('CASH BOOK 2020'!$K:$K,'CASH BOOK 2020'!$B:$B,'CASHFLOW 2020'!L$1,'CASH BOOK 2020'!$D:$D,'CASHFLOW 2020'!$A22)</f>
        <v>0</v>
      </c>
      <c r="M22" s="71">
        <f>SUMIFS('CASH BOOK 2020'!$K:$K,'CASH BOOK 2020'!$B:$B,'CASHFLOW 2020'!M$1,'CASH BOOK 2020'!$D:$D,'CASHFLOW 2020'!$A22)</f>
        <v>0</v>
      </c>
      <c r="N22" s="71">
        <f>SUMIFS('CASH BOOK 2020'!$K:$K,'CASH BOOK 2020'!$B:$B,'CASHFLOW 2020'!N$1,'CASH BOOK 2020'!$D:$D,'CASHFLOW 2020'!$A22)</f>
        <v>0</v>
      </c>
      <c r="O22" s="71">
        <f>SUMIFS('CASH BOOK 2020'!$K:$K,'CASH BOOK 2020'!$B:$B,'CASHFLOW 2020'!O$1,'CASH BOOK 2020'!$D:$D,'CASHFLOW 2020'!$A22)</f>
        <v>-1440</v>
      </c>
      <c r="P22" s="69">
        <f t="shared" si="2"/>
        <v>-1440</v>
      </c>
      <c r="Q22" s="70">
        <v>1500</v>
      </c>
      <c r="T22" s="247"/>
    </row>
    <row r="23" spans="1:20" ht="15.5" x14ac:dyDescent="0.35">
      <c r="A23" s="9" t="s">
        <v>11</v>
      </c>
      <c r="C23" s="68"/>
      <c r="D23" s="71">
        <f>SUMIFS('CASH BOOK 2020'!$K:$K,'CASH BOOK 2020'!$B:$B,'CASHFLOW 2020'!D$1,'CASH BOOK 2020'!$D:$D,'CASHFLOW 2020'!$A23)</f>
        <v>-200</v>
      </c>
      <c r="E23" s="71">
        <f>SUMIFS('CASH BOOK 2020'!$K:$K,'CASH BOOK 2020'!$B:$B,'CASHFLOW 2020'!E$1,'CASH BOOK 2020'!$D:$D,'CASHFLOW 2020'!$A23)</f>
        <v>-200</v>
      </c>
      <c r="F23" s="71">
        <f>SUMIFS('CASH BOOK 2020'!$K:$K,'CASH BOOK 2020'!$B:$B,'CASHFLOW 2020'!F$1,'CASH BOOK 2020'!$D:$D,'CASHFLOW 2020'!$A23)</f>
        <v>-200</v>
      </c>
      <c r="G23" s="71">
        <f>SUMIFS('CASH BOOK 2020'!$K:$K,'CASH BOOK 2020'!$B:$B,'CASHFLOW 2020'!G$1,'CASH BOOK 2020'!$D:$D,'CASHFLOW 2020'!$A23)</f>
        <v>-200</v>
      </c>
      <c r="H23" s="71">
        <f>SUMIFS('CASH BOOK 2020'!$K:$K,'CASH BOOK 2020'!$B:$B,'CASHFLOW 2020'!H$1,'CASH BOOK 2020'!$D:$D,'CASHFLOW 2020'!$A23)</f>
        <v>-200</v>
      </c>
      <c r="I23" s="71">
        <f>SUMIFS('CASH BOOK 2020'!$K:$K,'CASH BOOK 2020'!$B:$B,'CASHFLOW 2020'!I$1,'CASH BOOK 2020'!$D:$D,'CASHFLOW 2020'!$A23)</f>
        <v>-200</v>
      </c>
      <c r="J23" s="71">
        <f>SUMIFS('CASH BOOK 2020'!$K:$K,'CASH BOOK 2020'!$B:$B,'CASHFLOW 2020'!J$1,'CASH BOOK 2020'!$D:$D,'CASHFLOW 2020'!$A23)</f>
        <v>-200</v>
      </c>
      <c r="K23" s="71">
        <f>SUMIFS('CASH BOOK 2020'!$K:$K,'CASH BOOK 2020'!$B:$B,'CASHFLOW 2020'!K$1,'CASH BOOK 2020'!$D:$D,'CASHFLOW 2020'!$A23)</f>
        <v>-297.14</v>
      </c>
      <c r="L23" s="71">
        <f>SUMIFS('CASH BOOK 2020'!$K:$K,'CASH BOOK 2020'!$B:$B,'CASHFLOW 2020'!L$1,'CASH BOOK 2020'!$D:$D,'CASHFLOW 2020'!$A23)</f>
        <v>-297.14</v>
      </c>
      <c r="M23" s="71">
        <f>SUMIFS('CASH BOOK 2020'!$K:$K,'CASH BOOK 2020'!$B:$B,'CASHFLOW 2020'!M$1,'CASH BOOK 2020'!$D:$D,'CASHFLOW 2020'!$A23)</f>
        <v>-297.14</v>
      </c>
      <c r="N23" s="71">
        <f>SUMIFS('CASH BOOK 2020'!$K:$K,'CASH BOOK 2020'!$B:$B,'CASHFLOW 2020'!N$1,'CASH BOOK 2020'!$D:$D,'CASHFLOW 2020'!$A23)</f>
        <v>-46.45</v>
      </c>
      <c r="O23" s="71">
        <f>SUMIFS('CASH BOOK 2020'!$K:$K,'CASH BOOK 2020'!$B:$B,'CASHFLOW 2020'!O$1,'CASH BOOK 2020'!$D:$D,'CASHFLOW 2020'!$A23)</f>
        <v>-46.45</v>
      </c>
      <c r="P23" s="69">
        <f t="shared" si="2"/>
        <v>-2384.3199999999993</v>
      </c>
      <c r="Q23" s="70">
        <v>2400</v>
      </c>
      <c r="T23" s="247"/>
    </row>
    <row r="24" spans="1:20" ht="15.5" x14ac:dyDescent="0.35">
      <c r="A24" s="9" t="s">
        <v>12</v>
      </c>
      <c r="C24" s="68"/>
      <c r="D24" s="71">
        <f>SUMIFS('CASH BOOK 2020'!$K:$K,'CASH BOOK 2020'!$B:$B,'CASHFLOW 2020'!D$1,'CASH BOOK 2020'!$D:$D,'CASHFLOW 2020'!$A24)</f>
        <v>-431.3</v>
      </c>
      <c r="E24" s="71">
        <f>SUMIFS('CASH BOOK 2020'!$K:$K,'CASH BOOK 2020'!$B:$B,'CASHFLOW 2020'!E$1,'CASH BOOK 2020'!$D:$D,'CASHFLOW 2020'!$A24)</f>
        <v>-392.6</v>
      </c>
      <c r="F24" s="71">
        <f>SUMIFS('CASH BOOK 2020'!$K:$K,'CASH BOOK 2020'!$B:$B,'CASHFLOW 2020'!F$1,'CASH BOOK 2020'!$D:$D,'CASHFLOW 2020'!$A24)</f>
        <v>-399.5</v>
      </c>
      <c r="G24" s="71">
        <f>SUMIFS('CASH BOOK 2020'!$K:$K,'CASH BOOK 2020'!$B:$B,'CASHFLOW 2020'!G$1,'CASH BOOK 2020'!$D:$D,'CASHFLOW 2020'!$A24)</f>
        <v>-180.37</v>
      </c>
      <c r="H24" s="71">
        <f>SUMIFS('CASH BOOK 2020'!$K:$K,'CASH BOOK 2020'!$B:$B,'CASHFLOW 2020'!H$1,'CASH BOOK 2020'!$D:$D,'CASHFLOW 2020'!$A24)</f>
        <v>-87.54</v>
      </c>
      <c r="I24" s="71">
        <f>SUMIFS('CASH BOOK 2020'!$K:$K,'CASH BOOK 2020'!$B:$B,'CASHFLOW 2020'!I$1,'CASH BOOK 2020'!$D:$D,'CASHFLOW 2020'!$A24)</f>
        <v>-87.54</v>
      </c>
      <c r="J24" s="71">
        <f>SUMIFS('CASH BOOK 2020'!$K:$K,'CASH BOOK 2020'!$B:$B,'CASHFLOW 2020'!J$1,'CASH BOOK 2020'!$D:$D,'CASHFLOW 2020'!$A24)</f>
        <v>0</v>
      </c>
      <c r="K24" s="71">
        <f>SUMIFS('CASH BOOK 2020'!$K:$K,'CASH BOOK 2020'!$B:$B,'CASHFLOW 2020'!K$1,'CASH BOOK 2020'!$D:$D,'CASHFLOW 2020'!$A24)</f>
        <v>-34.799999999999997</v>
      </c>
      <c r="L24" s="71">
        <f>SUMIFS('CASH BOOK 2020'!$K:$K,'CASH BOOK 2020'!$B:$B,'CASHFLOW 2020'!L$1,'CASH BOOK 2020'!$D:$D,'CASHFLOW 2020'!$A24)</f>
        <v>-460.13</v>
      </c>
      <c r="M24" s="71">
        <f>SUMIFS('CASH BOOK 2020'!$K:$K,'CASH BOOK 2020'!$B:$B,'CASHFLOW 2020'!M$1,'CASH BOOK 2020'!$D:$D,'CASHFLOW 2020'!$A24)</f>
        <v>-515.54</v>
      </c>
      <c r="N24" s="71">
        <f>SUMIFS('CASH BOOK 2020'!$K:$K,'CASH BOOK 2020'!$B:$B,'CASHFLOW 2020'!N$1,'CASH BOOK 2020'!$D:$D,'CASHFLOW 2020'!$A24)</f>
        <v>-471.79999999999995</v>
      </c>
      <c r="O24" s="71">
        <f>SUMIFS('CASH BOOK 2020'!$K:$K,'CASH BOOK 2020'!$B:$B,'CASHFLOW 2020'!O$1,'CASH BOOK 2020'!$D:$D,'CASHFLOW 2020'!$A24)</f>
        <v>-381.2</v>
      </c>
      <c r="P24" s="69">
        <f t="shared" si="2"/>
        <v>-3442.3199999999997</v>
      </c>
      <c r="Q24" s="70">
        <v>5500</v>
      </c>
      <c r="T24" s="247"/>
    </row>
    <row r="25" spans="1:20" ht="15.5" x14ac:dyDescent="0.35">
      <c r="A25" s="9" t="s">
        <v>13</v>
      </c>
      <c r="C25" s="68"/>
      <c r="D25" s="71">
        <f>SUMIFS('CASH BOOK 2020'!$K:$K,'CASH BOOK 2020'!$B:$B,'CASHFLOW 2020'!D$1,'CASH BOOK 2020'!$D:$D,'CASHFLOW 2020'!$A25)</f>
        <v>0</v>
      </c>
      <c r="E25" s="71">
        <f>SUMIFS('CASH BOOK 2020'!$K:$K,'CASH BOOK 2020'!$B:$B,'CASHFLOW 2020'!E$1,'CASH BOOK 2020'!$D:$D,'CASHFLOW 2020'!$A25)</f>
        <v>0</v>
      </c>
      <c r="F25" s="71">
        <f>SUMIFS('CASH BOOK 2020'!$K:$K,'CASH BOOK 2020'!$B:$B,'CASHFLOW 2020'!F$1,'CASH BOOK 2020'!$D:$D,'CASHFLOW 2020'!$A25)</f>
        <v>-50</v>
      </c>
      <c r="G25" s="71">
        <f>SUMIFS('CASH BOOK 2020'!$K:$K,'CASH BOOK 2020'!$B:$B,'CASHFLOW 2020'!G$1,'CASH BOOK 2020'!$D:$D,'CASHFLOW 2020'!$A25)</f>
        <v>0</v>
      </c>
      <c r="H25" s="71">
        <f>SUMIFS('CASH BOOK 2020'!$K:$K,'CASH BOOK 2020'!$B:$B,'CASHFLOW 2020'!H$1,'CASH BOOK 2020'!$D:$D,'CASHFLOW 2020'!$A25)</f>
        <v>-35</v>
      </c>
      <c r="I25" s="71">
        <f>SUMIFS('CASH BOOK 2020'!$K:$K,'CASH BOOK 2020'!$B:$B,'CASHFLOW 2020'!I$1,'CASH BOOK 2020'!$D:$D,'CASHFLOW 2020'!$A25)</f>
        <v>0</v>
      </c>
      <c r="J25" s="71">
        <f>SUMIFS('CASH BOOK 2020'!$K:$K,'CASH BOOK 2020'!$B:$B,'CASHFLOW 2020'!J$1,'CASH BOOK 2020'!$D:$D,'CASHFLOW 2020'!$A25)</f>
        <v>0</v>
      </c>
      <c r="K25" s="71">
        <f>SUMIFS('CASH BOOK 2020'!$K:$K,'CASH BOOK 2020'!$B:$B,'CASHFLOW 2020'!K$1,'CASH BOOK 2020'!$D:$D,'CASHFLOW 2020'!$A25)</f>
        <v>0</v>
      </c>
      <c r="L25" s="71">
        <f>SUMIFS('CASH BOOK 2020'!$K:$K,'CASH BOOK 2020'!$B:$B,'CASHFLOW 2020'!L$1,'CASH BOOK 2020'!$D:$D,'CASHFLOW 2020'!$A25)</f>
        <v>-626.16</v>
      </c>
      <c r="M25" s="71">
        <f>SUMIFS('CASH BOOK 2020'!$K:$K,'CASH BOOK 2020'!$B:$B,'CASHFLOW 2020'!M$1,'CASH BOOK 2020'!$D:$D,'CASHFLOW 2020'!$A25)</f>
        <v>0</v>
      </c>
      <c r="N25" s="71">
        <f>SUMIFS('CASH BOOK 2020'!$K:$K,'CASH BOOK 2020'!$B:$B,'CASHFLOW 2020'!N$1,'CASH BOOK 2020'!$D:$D,'CASHFLOW 2020'!$A25)</f>
        <v>0</v>
      </c>
      <c r="O25" s="71">
        <f>SUMIFS('CASH BOOK 2020'!$K:$K,'CASH BOOK 2020'!$B:$B,'CASHFLOW 2020'!O$1,'CASH BOOK 2020'!$D:$D,'CASHFLOW 2020'!$A25)</f>
        <v>0</v>
      </c>
      <c r="P25" s="69">
        <f t="shared" si="2"/>
        <v>-711.16</v>
      </c>
      <c r="Q25" s="70">
        <v>700</v>
      </c>
      <c r="T25" s="247"/>
    </row>
    <row r="26" spans="1:20" ht="15.5" x14ac:dyDescent="0.35">
      <c r="A26" s="9" t="s">
        <v>468</v>
      </c>
      <c r="C26" s="68"/>
      <c r="D26" s="71">
        <f>SUMIFS('CASH BOOK 2020'!$K:$K,'CASH BOOK 2020'!$B:$B,'CASHFLOW 2020'!D$1,'CASH BOOK 2020'!$D:$D,'CASHFLOW 2020'!$A26)</f>
        <v>0</v>
      </c>
      <c r="E26" s="71">
        <f>SUMIFS('CASH BOOK 2020'!$K:$K,'CASH BOOK 2020'!$B:$B,'CASHFLOW 2020'!E$1,'CASH BOOK 2020'!$D:$D,'CASHFLOW 2020'!$A26)</f>
        <v>0</v>
      </c>
      <c r="F26" s="71">
        <f>SUMIFS('CASH BOOK 2020'!$K:$K,'CASH BOOK 2020'!$B:$B,'CASHFLOW 2020'!F$1,'CASH BOOK 2020'!$D:$D,'CASHFLOW 2020'!$A26)</f>
        <v>0</v>
      </c>
      <c r="G26" s="71">
        <f>SUMIFS('CASH BOOK 2020'!$K:$K,'CASH BOOK 2020'!$B:$B,'CASHFLOW 2020'!G$1,'CASH BOOK 2020'!$D:$D,'CASHFLOW 2020'!$A26)</f>
        <v>0</v>
      </c>
      <c r="H26" s="71">
        <f>SUMIFS('CASH BOOK 2020'!$K:$K,'CASH BOOK 2020'!$B:$B,'CASHFLOW 2020'!H$1,'CASH BOOK 2020'!$D:$D,'CASHFLOW 2020'!$A26)</f>
        <v>0</v>
      </c>
      <c r="I26" s="71">
        <f>SUMIFS('CASH BOOK 2020'!$K:$K,'CASH BOOK 2020'!$B:$B,'CASHFLOW 2020'!I$1,'CASH BOOK 2020'!$D:$D,'CASHFLOW 2020'!$A26)</f>
        <v>0</v>
      </c>
      <c r="J26" s="71">
        <f>SUMIFS('CASH BOOK 2020'!$K:$K,'CASH BOOK 2020'!$B:$B,'CASHFLOW 2020'!J$1,'CASH BOOK 2020'!$D:$D,'CASHFLOW 2020'!$A26)</f>
        <v>-44</v>
      </c>
      <c r="K26" s="71">
        <f>SUMIFS('CASH BOOK 2020'!$K:$K,'CASH BOOK 2020'!$B:$B,'CASHFLOW 2020'!K$1,'CASH BOOK 2020'!$D:$D,'CASHFLOW 2020'!$A26)</f>
        <v>0</v>
      </c>
      <c r="L26" s="71">
        <f>SUMIFS('CASH BOOK 2020'!$K:$K,'CASH BOOK 2020'!$B:$B,'CASHFLOW 2020'!L$1,'CASH BOOK 2020'!$D:$D,'CASHFLOW 2020'!$A26)</f>
        <v>0</v>
      </c>
      <c r="M26" s="71">
        <f>SUMIFS('CASH BOOK 2020'!$K:$K,'CASH BOOK 2020'!$B:$B,'CASHFLOW 2020'!M$1,'CASH BOOK 2020'!$D:$D,'CASHFLOW 2020'!$A26)</f>
        <v>0</v>
      </c>
      <c r="N26" s="71">
        <f>SUMIFS('CASH BOOK 2020'!$K:$K,'CASH BOOK 2020'!$B:$B,'CASHFLOW 2020'!N$1,'CASH BOOK 2020'!$D:$D,'CASHFLOW 2020'!$A26)</f>
        <v>0</v>
      </c>
      <c r="O26" s="71">
        <f>SUMIFS('CASH BOOK 2020'!$K:$K,'CASH BOOK 2020'!$B:$B,'CASHFLOW 2020'!O$1,'CASH BOOK 2020'!$D:$D,'CASHFLOW 2020'!$A26)</f>
        <v>0</v>
      </c>
      <c r="P26" s="69">
        <f t="shared" si="2"/>
        <v>-44</v>
      </c>
      <c r="Q26" s="70">
        <v>500</v>
      </c>
      <c r="T26" s="247"/>
    </row>
    <row r="27" spans="1:20" ht="15.5" x14ac:dyDescent="0.35">
      <c r="A27" s="9" t="s">
        <v>621</v>
      </c>
      <c r="C27" s="68"/>
      <c r="D27" s="71">
        <f>SUMIFS('CASH BOOK 2020'!$K:$K,'CASH BOOK 2020'!$B:$B,'CASHFLOW 2020'!D$1,'CASH BOOK 2020'!$D:$D,'CASHFLOW 2020'!$A27)</f>
        <v>0</v>
      </c>
      <c r="E27" s="71">
        <f>SUMIFS('CASH BOOK 2020'!$K:$K,'CASH BOOK 2020'!$B:$B,'CASHFLOW 2020'!E$1,'CASH BOOK 2020'!$D:$D,'CASHFLOW 2020'!$A27)</f>
        <v>0</v>
      </c>
      <c r="F27" s="71">
        <f>SUMIFS('CASH BOOK 2020'!$K:$K,'CASH BOOK 2020'!$B:$B,'CASHFLOW 2020'!F$1,'CASH BOOK 2020'!$D:$D,'CASHFLOW 2020'!$A27)</f>
        <v>0</v>
      </c>
      <c r="G27" s="71">
        <f>SUMIFS('CASH BOOK 2020'!$K:$K,'CASH BOOK 2020'!$B:$B,'CASHFLOW 2020'!G$1,'CASH BOOK 2020'!$D:$D,'CASHFLOW 2020'!$A27)</f>
        <v>0</v>
      </c>
      <c r="H27" s="71">
        <f>SUMIFS('CASH BOOK 2020'!$K:$K,'CASH BOOK 2020'!$B:$B,'CASHFLOW 2020'!H$1,'CASH BOOK 2020'!$D:$D,'CASHFLOW 2020'!$A27)</f>
        <v>0</v>
      </c>
      <c r="I27" s="71">
        <f>SUMIFS('CASH BOOK 2020'!$K:$K,'CASH BOOK 2020'!$B:$B,'CASHFLOW 2020'!I$1,'CASH BOOK 2020'!$D:$D,'CASHFLOW 2020'!$A27)</f>
        <v>0</v>
      </c>
      <c r="J27" s="71">
        <f>SUMIFS('CASH BOOK 2020'!$K:$K,'CASH BOOK 2020'!$B:$B,'CASHFLOW 2020'!J$1,'CASH BOOK 2020'!$D:$D,'CASHFLOW 2020'!$A27)</f>
        <v>0</v>
      </c>
      <c r="K27" s="71">
        <f>SUMIFS('CASH BOOK 2020'!$K:$K,'CASH BOOK 2020'!$B:$B,'CASHFLOW 2020'!K$1,'CASH BOOK 2020'!$D:$D,'CASHFLOW 2020'!$A27)</f>
        <v>0</v>
      </c>
      <c r="L27" s="71">
        <f>SUMIFS('CASH BOOK 2020'!$K:$K,'CASH BOOK 2020'!$B:$B,'CASHFLOW 2020'!L$1,'CASH BOOK 2020'!$D:$D,'CASHFLOW 2020'!$A27)</f>
        <v>-150</v>
      </c>
      <c r="M27" s="71">
        <f>SUMIFS('CASH BOOK 2020'!$K:$K,'CASH BOOK 2020'!$B:$B,'CASHFLOW 2020'!M$1,'CASH BOOK 2020'!$D:$D,'CASHFLOW 2020'!$A27)</f>
        <v>0</v>
      </c>
      <c r="N27" s="71">
        <f>SUMIFS('CASH BOOK 2020'!$K:$K,'CASH BOOK 2020'!$B:$B,'CASHFLOW 2020'!N$1,'CASH BOOK 2020'!$D:$D,'CASHFLOW 2020'!$A27)</f>
        <v>0</v>
      </c>
      <c r="O27" s="71">
        <f>SUMIFS('CASH BOOK 2020'!$K:$K,'CASH BOOK 2020'!$B:$B,'CASHFLOW 2020'!O$1,'CASH BOOK 2020'!$D:$D,'CASHFLOW 2020'!$A27)</f>
        <v>-300</v>
      </c>
      <c r="P27" s="69">
        <f t="shared" si="2"/>
        <v>-450</v>
      </c>
      <c r="Q27" s="70">
        <v>1000</v>
      </c>
      <c r="T27" s="247"/>
    </row>
    <row r="28" spans="1:20" ht="15.5" x14ac:dyDescent="0.35">
      <c r="A28" s="9" t="s">
        <v>1332</v>
      </c>
      <c r="C28" s="68"/>
      <c r="D28" s="71">
        <f>SUMIFS('CASH BOOK 2020'!$K:$K,'CASH BOOK 2020'!$B:$B,'CASHFLOW 2020'!D$1,'CASH BOOK 2020'!$D:$D,'CASHFLOW 2020'!$A28)</f>
        <v>0</v>
      </c>
      <c r="E28" s="71">
        <f>SUMIFS('CASH BOOK 2020'!$K:$K,'CASH BOOK 2020'!$B:$B,'CASHFLOW 2020'!E$1,'CASH BOOK 2020'!$D:$D,'CASHFLOW 2020'!$A28)</f>
        <v>-15000</v>
      </c>
      <c r="F28" s="71">
        <f>SUMIFS('CASH BOOK 2020'!$K:$K,'CASH BOOK 2020'!$B:$B,'CASHFLOW 2020'!F$1,'CASH BOOK 2020'!$D:$D,'CASHFLOW 2020'!$A28)</f>
        <v>0</v>
      </c>
      <c r="G28" s="71">
        <f>SUMIFS('CASH BOOK 2020'!$K:$K,'CASH BOOK 2020'!$B:$B,'CASHFLOW 2020'!G$1,'CASH BOOK 2020'!$D:$D,'CASHFLOW 2020'!$A28)</f>
        <v>0</v>
      </c>
      <c r="H28" s="71">
        <f>SUMIFS('CASH BOOK 2020'!$K:$K,'CASH BOOK 2020'!$B:$B,'CASHFLOW 2020'!H$1,'CASH BOOK 2020'!$D:$D,'CASHFLOW 2020'!$A28)</f>
        <v>0</v>
      </c>
      <c r="I28" s="71">
        <f>SUMIFS('CASH BOOK 2020'!$K:$K,'CASH BOOK 2020'!$B:$B,'CASHFLOW 2020'!I$1,'CASH BOOK 2020'!$D:$D,'CASHFLOW 2020'!$A28)</f>
        <v>0</v>
      </c>
      <c r="J28" s="71">
        <f>SUMIFS('CASH BOOK 2020'!$K:$K,'CASH BOOK 2020'!$B:$B,'CASHFLOW 2020'!J$1,'CASH BOOK 2020'!$D:$D,'CASHFLOW 2020'!$A28)</f>
        <v>0</v>
      </c>
      <c r="K28" s="71">
        <f>SUMIFS('CASH BOOK 2020'!$K:$K,'CASH BOOK 2020'!$B:$B,'CASHFLOW 2020'!K$1,'CASH BOOK 2020'!$D:$D,'CASHFLOW 2020'!$A28)</f>
        <v>-15000</v>
      </c>
      <c r="L28" s="71">
        <f>SUMIFS('CASH BOOK 2020'!$K:$K,'CASH BOOK 2020'!$B:$B,'CASHFLOW 2020'!L$1,'CASH BOOK 2020'!$D:$D,'CASHFLOW 2020'!$A28)</f>
        <v>0</v>
      </c>
      <c r="M28" s="71">
        <f>SUMIFS('CASH BOOK 2020'!$K:$K,'CASH BOOK 2020'!$B:$B,'CASHFLOW 2020'!M$1,'CASH BOOK 2020'!$D:$D,'CASHFLOW 2020'!$A28)</f>
        <v>0</v>
      </c>
      <c r="N28" s="71">
        <f>SUMIFS('CASH BOOK 2020'!$K:$K,'CASH BOOK 2020'!$B:$B,'CASHFLOW 2020'!N$1,'CASH BOOK 2020'!$D:$D,'CASHFLOW 2020'!$A28)</f>
        <v>0</v>
      </c>
      <c r="O28" s="71">
        <f>SUMIFS('CASH BOOK 2020'!$K:$K,'CASH BOOK 2020'!$B:$B,'CASHFLOW 2020'!O$1,'CASH BOOK 2020'!$D:$D,'CASHFLOW 2020'!$A28)</f>
        <v>0</v>
      </c>
      <c r="P28" s="69">
        <f>SUM(D28:O28)</f>
        <v>-30000</v>
      </c>
      <c r="Q28" s="70"/>
      <c r="T28" s="247"/>
    </row>
    <row r="29" spans="1:20" ht="15.5" x14ac:dyDescent="0.35">
      <c r="A29" s="9" t="s">
        <v>1423</v>
      </c>
      <c r="C29" s="68"/>
      <c r="D29" s="71">
        <f>SUMIFS('CASH BOOK 2020'!$K:$K,'CASH BOOK 2020'!$B:$B,'CASHFLOW 2020'!D$1,'CASH BOOK 2020'!$D:$D,'CASHFLOW 2020'!$A29)</f>
        <v>0</v>
      </c>
      <c r="E29" s="71">
        <f>SUMIFS('CASH BOOK 2020'!$K:$K,'CASH BOOK 2020'!$B:$B,'CASHFLOW 2020'!E$1,'CASH BOOK 2020'!$D:$D,'CASHFLOW 2020'!$A29)</f>
        <v>0</v>
      </c>
      <c r="F29" s="71">
        <f>SUMIFS('CASH BOOK 2020'!$K:$K,'CASH BOOK 2020'!$B:$B,'CASHFLOW 2020'!F$1,'CASH BOOK 2020'!$D:$D,'CASHFLOW 2020'!$A29)</f>
        <v>0</v>
      </c>
      <c r="G29" s="71">
        <f>SUMIFS('CASH BOOK 2020'!$K:$K,'CASH BOOK 2020'!$B:$B,'CASHFLOW 2020'!G$1,'CASH BOOK 2020'!$D:$D,'CASHFLOW 2020'!$A29)</f>
        <v>0</v>
      </c>
      <c r="H29" s="71">
        <f>SUMIFS('CASH BOOK 2020'!$K:$K,'CASH BOOK 2020'!$B:$B,'CASHFLOW 2020'!H$1,'CASH BOOK 2020'!$D:$D,'CASHFLOW 2020'!$A29)</f>
        <v>0</v>
      </c>
      <c r="I29" s="71">
        <f>SUMIFS('CASH BOOK 2020'!$K:$K,'CASH BOOK 2020'!$B:$B,'CASHFLOW 2020'!I$1,'CASH BOOK 2020'!$D:$D,'CASHFLOW 2020'!$A29)</f>
        <v>0</v>
      </c>
      <c r="J29" s="71">
        <f>SUMIFS('CASH BOOK 2020'!$K:$K,'CASH BOOK 2020'!$B:$B,'CASHFLOW 2020'!J$1,'CASH BOOK 2020'!$D:$D,'CASHFLOW 2020'!$A29)</f>
        <v>0</v>
      </c>
      <c r="K29" s="71">
        <f>'CASH BOOK 2020'!H218</f>
        <v>12209.83</v>
      </c>
      <c r="L29" s="71">
        <f>SUMIFS('CASH BOOK 2020'!$K:$K,'CASH BOOK 2020'!$B:$B,'CASHFLOW 2020'!L$1,'CASH BOOK 2020'!$D:$D,'CASHFLOW 2020'!$A29)</f>
        <v>0</v>
      </c>
      <c r="M29" s="71">
        <f>SUMIFS('CASH BOOK 2020'!$K:$K,'CASH BOOK 2020'!$B:$B,'CASHFLOW 2020'!M$1,'CASH BOOK 2020'!$D:$D,'CASHFLOW 2020'!$A29)</f>
        <v>0</v>
      </c>
      <c r="N29" s="71">
        <f>SUMIFS('CASH BOOK 2020'!$K:$K,'CASH BOOK 2020'!$B:$B,'CASHFLOW 2020'!N$1,'CASH BOOK 2020'!$D:$D,'CASHFLOW 2020'!$A29)</f>
        <v>0</v>
      </c>
      <c r="O29" s="71">
        <f>SUMIFS('CASH BOOK 2020'!$K:$K,'CASH BOOK 2020'!$B:$B,'CASHFLOW 2020'!O$1,'CASH BOOK 2020'!$D:$D,'CASHFLOW 2020'!$A29)</f>
        <v>0</v>
      </c>
      <c r="P29" s="69">
        <f t="shared" si="2"/>
        <v>12209.83</v>
      </c>
      <c r="Q29" s="70">
        <v>0</v>
      </c>
      <c r="T29" s="247"/>
    </row>
    <row r="30" spans="1:20" ht="15.5" x14ac:dyDescent="0.35">
      <c r="C30" s="68"/>
      <c r="D30" s="72">
        <f>SUM(D14:D29)</f>
        <v>-1258.3899999999999</v>
      </c>
      <c r="E30" s="72">
        <f>SUM(E14:E29)</f>
        <v>-17785.89</v>
      </c>
      <c r="F30" s="72">
        <f>SUM(F14:F29)</f>
        <v>-1021.41</v>
      </c>
      <c r="G30" s="72">
        <f>SUM(G14:G29)</f>
        <v>-1629.8199999999997</v>
      </c>
      <c r="H30" s="72">
        <f>SUM(H14:H29)</f>
        <v>-1463.82</v>
      </c>
      <c r="I30" s="72">
        <f t="shared" ref="I30:P30" si="3">SUM(I14:I29)</f>
        <v>-1100.82</v>
      </c>
      <c r="J30" s="72">
        <f t="shared" si="3"/>
        <v>-811.2</v>
      </c>
      <c r="K30" s="72">
        <f t="shared" si="3"/>
        <v>-3726.09</v>
      </c>
      <c r="L30" s="72">
        <f t="shared" si="3"/>
        <v>-1422.83</v>
      </c>
      <c r="M30" s="72">
        <f t="shared" si="3"/>
        <v>-1156.79</v>
      </c>
      <c r="N30" s="72">
        <f t="shared" si="3"/>
        <v>-1068.93</v>
      </c>
      <c r="O30" s="72">
        <f t="shared" si="3"/>
        <v>-2669.16</v>
      </c>
      <c r="P30" s="72">
        <f t="shared" si="3"/>
        <v>-35115.149999999994</v>
      </c>
      <c r="Q30" s="73">
        <f>SUM(Q14:Q29)</f>
        <v>21350</v>
      </c>
      <c r="T30" s="247"/>
    </row>
    <row r="31" spans="1:20" ht="15.5" x14ac:dyDescent="0.3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  <c r="T31" s="247"/>
    </row>
    <row r="32" spans="1:20" s="80" customFormat="1" ht="15.5" x14ac:dyDescent="0.35">
      <c r="A32" s="80" t="s">
        <v>507</v>
      </c>
      <c r="C32" s="81"/>
      <c r="D32" s="81">
        <f>D12+D30</f>
        <v>8507.9200000000019</v>
      </c>
      <c r="E32" s="81">
        <f t="shared" ref="E32:P32" si="4">E12+E30</f>
        <v>-12016.31</v>
      </c>
      <c r="F32" s="81">
        <f t="shared" si="4"/>
        <v>-535.21</v>
      </c>
      <c r="G32" s="81">
        <f t="shared" si="4"/>
        <v>-1829.8199999999997</v>
      </c>
      <c r="H32" s="81">
        <f t="shared" si="4"/>
        <v>-1463.82</v>
      </c>
      <c r="I32" s="81">
        <f t="shared" si="4"/>
        <v>-100.81999999999994</v>
      </c>
      <c r="J32" s="81">
        <f t="shared" si="4"/>
        <v>-761.2</v>
      </c>
      <c r="K32" s="81">
        <f t="shared" si="4"/>
        <v>-3636.09</v>
      </c>
      <c r="L32" s="81">
        <f t="shared" si="4"/>
        <v>-1342.83</v>
      </c>
      <c r="M32" s="81">
        <f t="shared" si="4"/>
        <v>3210.41</v>
      </c>
      <c r="N32" s="81">
        <f t="shared" si="4"/>
        <v>-1018.9300000000001</v>
      </c>
      <c r="O32" s="81">
        <f t="shared" si="4"/>
        <v>-1948.9199999999998</v>
      </c>
      <c r="P32" s="81">
        <f t="shared" si="4"/>
        <v>-12935.619999999992</v>
      </c>
      <c r="Q32" s="82">
        <f>Q12-Q30</f>
        <v>4000</v>
      </c>
      <c r="T32" s="248"/>
    </row>
    <row r="33" spans="1:20" ht="15.5" x14ac:dyDescent="0.3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  <c r="T33" s="249"/>
    </row>
    <row r="34" spans="1:20" ht="16" thickBot="1" x14ac:dyDescent="0.4">
      <c r="T34" s="250"/>
    </row>
    <row r="35" spans="1:20" ht="13.5" thickTop="1" x14ac:dyDescent="0.35">
      <c r="A35" s="9" t="s">
        <v>499</v>
      </c>
      <c r="C35" s="68"/>
      <c r="D35" s="71">
        <f>SUMIFS('CASH BOOK 2020'!$K:$K,'CASH BOOK 2020'!$B:$B,'CASHFLOW 2020'!D$1,'CASH BOOK 2020'!$D:$D,'CASHFLOW 2020'!$A35)</f>
        <v>420</v>
      </c>
      <c r="E35" s="71">
        <f>SUMIFS('CASH BOOK 2020'!$K:$K,'CASH BOOK 2020'!$B:$B,'CASHFLOW 2020'!E$1,'CASH BOOK 2020'!$D:$D,'CASHFLOW 2020'!$A35)</f>
        <v>250</v>
      </c>
      <c r="F35" s="71">
        <f>SUMIFS('CASH BOOK 2020'!$K:$K,'CASH BOOK 2020'!$B:$B,'CASHFLOW 2020'!F$1,'CASH BOOK 2020'!$D:$D,'CASHFLOW 2020'!$A35)</f>
        <v>100</v>
      </c>
      <c r="G35" s="71">
        <f>SUMIFS('CASH BOOK 2020'!$K:$K,'CASH BOOK 2020'!$B:$B,'CASHFLOW 2020'!G$1,'CASH BOOK 2020'!$D:$D,'CASHFLOW 2020'!$A35)</f>
        <v>0</v>
      </c>
      <c r="H35" s="71">
        <f>SUMIFS('CASH BOOK 2020'!$K:$K,'CASH BOOK 2020'!$B:$B,'CASHFLOW 2020'!H$1,'CASH BOOK 2020'!$D:$D,'CASHFLOW 2020'!$A35)</f>
        <v>0</v>
      </c>
      <c r="I35" s="71">
        <f>SUMIFS('CASH BOOK 2020'!$K:$K,'CASH BOOK 2020'!$B:$B,'CASHFLOW 2020'!I$1,'CASH BOOK 2020'!$D:$D,'CASHFLOW 2020'!$A35)</f>
        <v>0</v>
      </c>
      <c r="J35" s="71">
        <f>SUMIFS('CASH BOOK 2020'!$K:$K,'CASH BOOK 2020'!$B:$B,'CASHFLOW 2020'!J$1,'CASH BOOK 2020'!$D:$D,'CASHFLOW 2020'!$A35)</f>
        <v>0</v>
      </c>
      <c r="K35" s="71">
        <f>SUMIFS('CASH BOOK 2020'!$K:$K,'CASH BOOK 2020'!$B:$B,'CASHFLOW 2020'!K$1,'CASH BOOK 2020'!$D:$D,'CASHFLOW 2020'!$A35)</f>
        <v>150</v>
      </c>
      <c r="L35" s="71">
        <f>SUMIFS('CASH BOOK 2020'!$K:$K,'CASH BOOK 2020'!$B:$B,'CASHFLOW 2020'!L$1,'CASH BOOK 2020'!$D:$D,'CASHFLOW 2020'!$A35)</f>
        <v>0</v>
      </c>
      <c r="M35" s="71">
        <f>SUMIFS('CASH BOOK 2020'!$K:$K,'CASH BOOK 2020'!$B:$B,'CASHFLOW 2020'!M$1,'CASH BOOK 2020'!$D:$D,'CASHFLOW 2020'!$A35)</f>
        <v>0</v>
      </c>
      <c r="N35" s="71">
        <f>SUMIFS('CASH BOOK 2020'!$K:$K,'CASH BOOK 2020'!$B:$B,'CASHFLOW 2020'!N$1,'CASH BOOK 2020'!$D:$D,'CASHFLOW 2020'!$A35)</f>
        <v>0</v>
      </c>
      <c r="O35" s="71">
        <f>SUMIFS('CASH BOOK 2020'!$K:$K,'CASH BOOK 2020'!$B:$B,'CASHFLOW 2020'!O$1,'CASH BOOK 2020'!$D:$D,'CASHFLOW 2020'!$A35)</f>
        <v>0</v>
      </c>
      <c r="P35" s="69">
        <f>SUM(D35:O35)</f>
        <v>920</v>
      </c>
      <c r="Q35" s="70"/>
      <c r="R35" s="93" t="s">
        <v>522</v>
      </c>
      <c r="S35" s="94"/>
    </row>
    <row r="36" spans="1:20" x14ac:dyDescent="0.35">
      <c r="A36" s="9" t="s">
        <v>504</v>
      </c>
      <c r="C36" s="68"/>
      <c r="D36" s="71">
        <f>SUMIFS('CASH BOOK 2020'!$K:$K,'CASH BOOK 2020'!$B:$B,'CASHFLOW 2020'!D$1,'CASH BOOK 2020'!$D:$D,'CASHFLOW 2020'!$A36)</f>
        <v>-350</v>
      </c>
      <c r="E36" s="71">
        <f>SUMIFS('CASH BOOK 2020'!$K:$K,'CASH BOOK 2020'!$B:$B,'CASHFLOW 2020'!E$1,'CASH BOOK 2020'!$D:$D,'CASHFLOW 2020'!$A36)</f>
        <v>-200</v>
      </c>
      <c r="F36" s="71">
        <f>SUMIFS('CASH BOOK 2020'!$K:$K,'CASH BOOK 2020'!$B:$B,'CASHFLOW 2020'!F$1,'CASH BOOK 2020'!$D:$D,'CASHFLOW 2020'!$A36)</f>
        <v>-150</v>
      </c>
      <c r="G36" s="71">
        <f>SUMIFS('CASH BOOK 2020'!$K:$K,'CASH BOOK 2020'!$B:$B,'CASHFLOW 2020'!G$1,'CASH BOOK 2020'!$D:$D,'CASHFLOW 2020'!$A36)</f>
        <v>-250</v>
      </c>
      <c r="H36" s="71">
        <f>SUMIFS('CASH BOOK 2020'!$K:$K,'CASH BOOK 2020'!$B:$B,'CASHFLOW 2020'!H$1,'CASH BOOK 2020'!$D:$D,'CASHFLOW 2020'!$A36)</f>
        <v>0</v>
      </c>
      <c r="I36" s="71">
        <f>SUMIFS('CASH BOOK 2020'!$K:$K,'CASH BOOK 2020'!$B:$B,'CASHFLOW 2020'!I$1,'CASH BOOK 2020'!$D:$D,'CASHFLOW 2020'!$A36)</f>
        <v>0</v>
      </c>
      <c r="J36" s="71">
        <f>SUMIFS('CASH BOOK 2020'!$K:$K,'CASH BOOK 2020'!$B:$B,'CASHFLOW 2020'!J$1,'CASH BOOK 2020'!$D:$D,'CASHFLOW 2020'!$A36)</f>
        <v>0</v>
      </c>
      <c r="K36" s="71">
        <f>SUMIFS('CASH BOOK 2020'!$K:$K,'CASH BOOK 2020'!$B:$B,'CASHFLOW 2020'!K$1,'CASH BOOK 2020'!$D:$D,'CASHFLOW 2020'!$A36)</f>
        <v>0</v>
      </c>
      <c r="L36" s="71">
        <f>SUMIFS('CASH BOOK 2020'!$K:$K,'CASH BOOK 2020'!$B:$B,'CASHFLOW 2020'!L$1,'CASH BOOK 2020'!$D:$D,'CASHFLOW 2020'!$A36)</f>
        <v>-50</v>
      </c>
      <c r="M36" s="71">
        <f>SUMIFS('CASH BOOK 2020'!$K:$K,'CASH BOOK 2020'!$B:$B,'CASHFLOW 2020'!M$1,'CASH BOOK 2020'!$D:$D,'CASHFLOW 2020'!$A36)</f>
        <v>0</v>
      </c>
      <c r="N36" s="71">
        <f>SUMIFS('CASH BOOK 2020'!$K:$K,'CASH BOOK 2020'!$B:$B,'CASHFLOW 2020'!N$1,'CASH BOOK 2020'!$D:$D,'CASHFLOW 2020'!$A36)</f>
        <v>-150</v>
      </c>
      <c r="O36" s="71">
        <f>SUMIFS('CASH BOOK 2020'!$K:$K,'CASH BOOK 2020'!$B:$B,'CASHFLOW 2020'!O$1,'CASH BOOK 2020'!$D:$D,'CASHFLOW 2020'!$A36)</f>
        <v>0</v>
      </c>
      <c r="P36" s="69">
        <f>SUM(D36:O36)</f>
        <v>-1150</v>
      </c>
      <c r="Q36" s="70"/>
      <c r="R36" s="95"/>
      <c r="S36" s="96"/>
    </row>
    <row r="37" spans="1:20" s="80" customFormat="1" ht="13.5" thickBot="1" x14ac:dyDescent="0.4">
      <c r="A37" s="80" t="s">
        <v>506</v>
      </c>
      <c r="C37" s="119">
        <v>550</v>
      </c>
      <c r="D37" s="90">
        <f>SUM(D35:D36)</f>
        <v>70</v>
      </c>
      <c r="E37" s="90">
        <f t="shared" ref="E37:P37" si="5">SUM(E35:E36)</f>
        <v>50</v>
      </c>
      <c r="F37" s="90">
        <f t="shared" si="5"/>
        <v>-50</v>
      </c>
      <c r="G37" s="90">
        <f t="shared" si="5"/>
        <v>-250</v>
      </c>
      <c r="H37" s="90">
        <f t="shared" si="5"/>
        <v>0</v>
      </c>
      <c r="I37" s="90">
        <f t="shared" si="5"/>
        <v>0</v>
      </c>
      <c r="J37" s="90">
        <f t="shared" si="5"/>
        <v>0</v>
      </c>
      <c r="K37" s="90">
        <f t="shared" si="5"/>
        <v>150</v>
      </c>
      <c r="L37" s="90">
        <f t="shared" si="5"/>
        <v>-50</v>
      </c>
      <c r="M37" s="90">
        <f t="shared" si="5"/>
        <v>0</v>
      </c>
      <c r="N37" s="90">
        <f t="shared" si="5"/>
        <v>-150</v>
      </c>
      <c r="O37" s="90">
        <f t="shared" si="5"/>
        <v>0</v>
      </c>
      <c r="P37" s="90">
        <f t="shared" si="5"/>
        <v>-230</v>
      </c>
      <c r="Q37" s="91"/>
      <c r="R37" s="97">
        <f>C37+P37</f>
        <v>320</v>
      </c>
      <c r="S37" s="98"/>
    </row>
    <row r="38" spans="1:20" ht="13.5" thickTop="1" x14ac:dyDescent="0.3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1:20" s="80" customFormat="1" x14ac:dyDescent="0.35">
      <c r="A39" s="80" t="s">
        <v>508</v>
      </c>
      <c r="C39" s="81">
        <v>22067.88</v>
      </c>
      <c r="D39" s="84">
        <f t="shared" ref="D39:O39" si="6">C39+D32+D37</f>
        <v>30645.800000000003</v>
      </c>
      <c r="E39" s="84">
        <f t="shared" si="6"/>
        <v>18679.490000000005</v>
      </c>
      <c r="F39" s="84">
        <f t="shared" si="6"/>
        <v>18094.280000000006</v>
      </c>
      <c r="G39" s="84">
        <f t="shared" si="6"/>
        <v>16014.460000000006</v>
      </c>
      <c r="H39" s="84">
        <f t="shared" si="6"/>
        <v>14550.640000000007</v>
      </c>
      <c r="I39" s="84">
        <f t="shared" si="6"/>
        <v>14449.820000000007</v>
      </c>
      <c r="J39" s="84">
        <f t="shared" si="6"/>
        <v>13688.620000000006</v>
      </c>
      <c r="K39" s="84">
        <f t="shared" si="6"/>
        <v>10202.530000000006</v>
      </c>
      <c r="L39" s="84">
        <f t="shared" si="6"/>
        <v>8809.7000000000062</v>
      </c>
      <c r="M39" s="84">
        <f t="shared" si="6"/>
        <v>12020.110000000006</v>
      </c>
      <c r="N39" s="84">
        <f t="shared" si="6"/>
        <v>10851.180000000006</v>
      </c>
      <c r="O39" s="84">
        <f t="shared" si="6"/>
        <v>8902.2600000000057</v>
      </c>
      <c r="P39" s="84">
        <f>O39</f>
        <v>8902.2600000000057</v>
      </c>
      <c r="Q39" s="82"/>
    </row>
    <row r="40" spans="1:20" s="80" customFormat="1" x14ac:dyDescent="0.35">
      <c r="A40" s="80" t="s">
        <v>1331</v>
      </c>
      <c r="C40" s="81">
        <v>0</v>
      </c>
      <c r="D40" s="84"/>
      <c r="E40" s="84">
        <f>-E28</f>
        <v>15000</v>
      </c>
      <c r="F40" s="84"/>
      <c r="G40" s="84"/>
      <c r="H40" s="84"/>
      <c r="I40" s="84"/>
      <c r="J40" s="84"/>
      <c r="K40" s="84">
        <f>-K28</f>
        <v>15000</v>
      </c>
      <c r="L40" s="84"/>
      <c r="M40" s="84"/>
      <c r="N40" s="84"/>
      <c r="O40" s="84"/>
      <c r="P40" s="90">
        <f>SUM(D40:O40)</f>
        <v>30000</v>
      </c>
      <c r="Q40" s="82"/>
    </row>
    <row r="41" spans="1:20" s="80" customFormat="1" x14ac:dyDescent="0.35">
      <c r="A41" s="80" t="s">
        <v>1399</v>
      </c>
      <c r="C41" s="81"/>
      <c r="D41" s="84"/>
      <c r="E41" s="84"/>
      <c r="F41" s="84"/>
      <c r="G41" s="84">
        <v>23.01</v>
      </c>
      <c r="H41" s="84"/>
      <c r="I41" s="84"/>
      <c r="J41" s="84"/>
      <c r="K41" s="84"/>
      <c r="L41" s="84"/>
      <c r="M41" s="84">
        <v>35.75</v>
      </c>
      <c r="N41" s="84"/>
      <c r="O41" s="84"/>
      <c r="P41" s="90">
        <f>SUM(D41:O41)</f>
        <v>58.760000000000005</v>
      </c>
      <c r="Q41" s="82"/>
    </row>
    <row r="42" spans="1:20" x14ac:dyDescent="0.35">
      <c r="A42" s="9" t="s">
        <v>505</v>
      </c>
      <c r="C42" s="68">
        <v>12113.37</v>
      </c>
      <c r="D42" s="71">
        <f>SUMIFS('CASH BOOK 2017'!$K:$K,'CASH BOOK 2017'!$B:$B,'CASHFLOW 2020'!D$1,'CASH BOOK 2017'!$D:$D,'CASHFLOW 2020'!$A42)</f>
        <v>0</v>
      </c>
      <c r="E42" s="68"/>
      <c r="F42" s="68"/>
      <c r="G42" s="68"/>
      <c r="H42" s="68"/>
      <c r="I42" s="68"/>
      <c r="J42" s="68"/>
      <c r="K42" s="68">
        <v>-12209.83</v>
      </c>
      <c r="L42" s="68"/>
      <c r="M42" s="68"/>
      <c r="N42" s="68"/>
      <c r="O42" s="68"/>
      <c r="P42" s="92">
        <f>SUM(D42:O42)</f>
        <v>-12209.83</v>
      </c>
      <c r="Q42" s="70">
        <v>0</v>
      </c>
    </row>
    <row r="43" spans="1:20" x14ac:dyDescent="0.35">
      <c r="A43" s="9" t="s">
        <v>39</v>
      </c>
      <c r="C43" s="68"/>
      <c r="D43" s="71">
        <v>0.74</v>
      </c>
      <c r="E43" s="68"/>
      <c r="F43" s="68">
        <v>37.450000000000003</v>
      </c>
      <c r="G43" s="68"/>
      <c r="H43" s="68"/>
      <c r="I43" s="68">
        <v>37.57</v>
      </c>
      <c r="J43" s="68"/>
      <c r="K43" s="68">
        <v>20.7</v>
      </c>
      <c r="L43" s="68"/>
      <c r="M43" s="68"/>
      <c r="N43" s="68"/>
      <c r="O43" s="68"/>
      <c r="P43" s="69">
        <f>SUM(D43:O43)</f>
        <v>96.460000000000008</v>
      </c>
      <c r="Q43" s="70">
        <v>150</v>
      </c>
    </row>
    <row r="44" spans="1:20" s="80" customFormat="1" x14ac:dyDescent="0.35">
      <c r="A44" s="79" t="s">
        <v>509</v>
      </c>
      <c r="B44" s="79"/>
      <c r="C44" s="83"/>
      <c r="D44" s="83">
        <f>SUM(D42:D43)</f>
        <v>0.74</v>
      </c>
      <c r="E44" s="83">
        <f t="shared" ref="E44:P44" si="7">SUM(E42:E43)</f>
        <v>0</v>
      </c>
      <c r="F44" s="83">
        <f t="shared" si="7"/>
        <v>37.450000000000003</v>
      </c>
      <c r="G44" s="83">
        <f t="shared" si="7"/>
        <v>0</v>
      </c>
      <c r="H44" s="83">
        <f t="shared" si="7"/>
        <v>0</v>
      </c>
      <c r="I44" s="83">
        <f t="shared" si="7"/>
        <v>37.57</v>
      </c>
      <c r="J44" s="83">
        <f t="shared" si="7"/>
        <v>0</v>
      </c>
      <c r="K44" s="83">
        <f t="shared" si="7"/>
        <v>-12189.13</v>
      </c>
      <c r="L44" s="83">
        <f t="shared" si="7"/>
        <v>0</v>
      </c>
      <c r="M44" s="83">
        <f t="shared" si="7"/>
        <v>0</v>
      </c>
      <c r="N44" s="83">
        <f t="shared" si="7"/>
        <v>0</v>
      </c>
      <c r="O44" s="83">
        <f t="shared" si="7"/>
        <v>0</v>
      </c>
      <c r="P44" s="83">
        <f t="shared" si="7"/>
        <v>-12113.37</v>
      </c>
      <c r="Q44" s="82"/>
    </row>
    <row r="46" spans="1:20" x14ac:dyDescent="0.35">
      <c r="A46" s="9" t="s">
        <v>15</v>
      </c>
      <c r="C46" s="68">
        <f>'ACCOUNTS 21'!G48</f>
        <v>0</v>
      </c>
      <c r="D46" s="71">
        <f>C46+D44</f>
        <v>0.74</v>
      </c>
      <c r="E46" s="71">
        <f t="shared" ref="E46:O46" si="8">D46+E44</f>
        <v>0.74</v>
      </c>
      <c r="F46" s="71">
        <f t="shared" si="8"/>
        <v>38.190000000000005</v>
      </c>
      <c r="G46" s="71">
        <f t="shared" si="8"/>
        <v>38.190000000000005</v>
      </c>
      <c r="H46" s="71">
        <f t="shared" si="8"/>
        <v>38.190000000000005</v>
      </c>
      <c r="I46" s="71">
        <f t="shared" si="8"/>
        <v>75.760000000000005</v>
      </c>
      <c r="J46" s="71">
        <f t="shared" si="8"/>
        <v>75.760000000000005</v>
      </c>
      <c r="K46" s="71">
        <f t="shared" si="8"/>
        <v>-12113.369999999999</v>
      </c>
      <c r="L46" s="71">
        <f t="shared" si="8"/>
        <v>-12113.369999999999</v>
      </c>
      <c r="M46" s="71">
        <f t="shared" si="8"/>
        <v>-12113.369999999999</v>
      </c>
      <c r="N46" s="71">
        <f t="shared" si="8"/>
        <v>-12113.369999999999</v>
      </c>
      <c r="O46" s="71">
        <f t="shared" si="8"/>
        <v>-12113.369999999999</v>
      </c>
      <c r="P46" s="71">
        <f>O46</f>
        <v>-12113.369999999999</v>
      </c>
      <c r="Q46" s="70"/>
    </row>
    <row r="48" spans="1:20" s="85" customFormat="1" x14ac:dyDescent="0.35">
      <c r="A48" s="85" t="s">
        <v>510</v>
      </c>
      <c r="C48" s="86"/>
      <c r="D48" s="8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8"/>
      <c r="Q48" s="89"/>
    </row>
    <row r="49" spans="1:17" s="85" customFormat="1" x14ac:dyDescent="0.35">
      <c r="A49" s="85" t="s">
        <v>511</v>
      </c>
      <c r="C49" s="86"/>
      <c r="D49" s="8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8"/>
      <c r="Q49" s="89"/>
    </row>
    <row r="50" spans="1:17" x14ac:dyDescent="0.3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0"/>
    </row>
    <row r="51" spans="1:17" x14ac:dyDescent="0.35"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1:17" x14ac:dyDescent="0.3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70"/>
    </row>
    <row r="53" spans="1:17" x14ac:dyDescent="0.3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/>
    </row>
    <row r="54" spans="1:17" x14ac:dyDescent="0.3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70"/>
    </row>
    <row r="55" spans="1:17" x14ac:dyDescent="0.3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70"/>
    </row>
  </sheetData>
  <pageMargins left="0.74803149606299213" right="0.74803149606299213" top="0.98425196850393704" bottom="0.98425196850393704" header="0.51181102362204722" footer="0.51181102362204722"/>
  <pageSetup paperSize="9" scale="60" orientation="landscape"/>
  <headerFooter alignWithMargins="0">
    <oddHeader>&amp;L&amp;"Arial,Bold"Year ended 31 December 2017
&amp;C&amp;"Trebuchet MS,Bold"WILLASTON MEMORIAL HALL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502"/>
  <sheetViews>
    <sheetView showGridLines="0" workbookViewId="0">
      <pane ySplit="1" topLeftCell="A407" activePane="bottomLeft" state="frozen"/>
      <selection activeCell="M382" sqref="M382:Q383"/>
      <selection pane="bottomLeft" activeCell="D433" sqref="D433"/>
    </sheetView>
  </sheetViews>
  <sheetFormatPr defaultColWidth="8.7265625" defaultRowHeight="13" outlineLevelCol="1" x14ac:dyDescent="0.3"/>
  <cols>
    <col min="1" max="1" width="9.1796875" style="39" customWidth="1"/>
    <col min="2" max="2" width="9.1796875" style="106" customWidth="1"/>
    <col min="3" max="3" width="19.453125" style="15" customWidth="1"/>
    <col min="4" max="4" width="19.453125" style="114" customWidth="1"/>
    <col min="5" max="5" width="17.36328125" style="13" customWidth="1" outlineLevel="1"/>
    <col min="6" max="6" width="2.1796875" style="15" customWidth="1"/>
    <col min="7" max="7" width="10.36328125" style="13" customWidth="1"/>
    <col min="8" max="8" width="11.1796875" style="43" bestFit="1" customWidth="1"/>
    <col min="9" max="9" width="16.1796875" style="43" customWidth="1" outlineLevel="1"/>
    <col min="10" max="10" width="10.54296875" style="43" bestFit="1" customWidth="1"/>
    <col min="11" max="11" width="11.36328125" style="43" customWidth="1"/>
    <col min="12" max="12" width="10.08984375" style="43" bestFit="1" customWidth="1"/>
    <col min="13" max="13" width="9.81640625" style="18" customWidth="1"/>
    <col min="14" max="14" width="8.7265625" style="15"/>
    <col min="15" max="15" width="8.7265625" style="16" customWidth="1"/>
    <col min="16" max="16" width="8.7265625" style="15"/>
    <col min="17" max="17" width="8.453125" style="11" customWidth="1"/>
    <col min="18" max="19" width="10.08984375" style="15" bestFit="1" customWidth="1"/>
    <col min="20" max="16384" width="8.7265625" style="15"/>
  </cols>
  <sheetData>
    <row r="1" spans="1:15" x14ac:dyDescent="0.3">
      <c r="A1" s="12"/>
      <c r="B1" s="29"/>
      <c r="C1" s="5" t="s">
        <v>41</v>
      </c>
      <c r="D1" s="124"/>
      <c r="E1" s="2"/>
      <c r="G1" s="2" t="s">
        <v>42</v>
      </c>
      <c r="H1" s="41" t="s">
        <v>43</v>
      </c>
      <c r="I1" s="41" t="s">
        <v>494</v>
      </c>
      <c r="J1" s="41" t="s">
        <v>44</v>
      </c>
      <c r="K1" s="41" t="s">
        <v>493</v>
      </c>
      <c r="L1" s="41" t="s">
        <v>45</v>
      </c>
      <c r="M1" s="44" t="s">
        <v>46</v>
      </c>
    </row>
    <row r="2" spans="1:15" x14ac:dyDescent="0.3">
      <c r="B2" s="59"/>
      <c r="C2" s="24" t="s">
        <v>934</v>
      </c>
      <c r="D2" s="178"/>
      <c r="E2" s="4"/>
      <c r="F2" s="179"/>
      <c r="G2" s="1"/>
      <c r="H2" s="4"/>
      <c r="I2" s="1"/>
      <c r="J2" s="125"/>
      <c r="K2" s="125"/>
      <c r="L2" s="125"/>
      <c r="M2" s="125"/>
      <c r="N2" s="125"/>
      <c r="O2" s="18"/>
    </row>
    <row r="3" spans="1:15" x14ac:dyDescent="0.3">
      <c r="B3" s="59"/>
      <c r="C3" s="3"/>
      <c r="D3" s="180"/>
      <c r="E3" s="4" t="s">
        <v>110</v>
      </c>
      <c r="F3" s="179"/>
      <c r="G3" s="1"/>
      <c r="H3" s="4"/>
      <c r="I3" s="1"/>
      <c r="J3" s="125"/>
      <c r="K3" s="125"/>
      <c r="L3" s="125"/>
      <c r="M3" s="125">
        <v>21747.54</v>
      </c>
      <c r="O3" s="18"/>
    </row>
    <row r="4" spans="1:15" x14ac:dyDescent="0.3">
      <c r="B4" s="59"/>
      <c r="C4" s="3"/>
      <c r="D4" s="180"/>
      <c r="E4" s="4" t="s">
        <v>111</v>
      </c>
      <c r="F4" s="179"/>
      <c r="G4" s="1"/>
      <c r="H4" s="4"/>
      <c r="I4" s="1"/>
      <c r="J4" s="125"/>
      <c r="K4" s="125"/>
      <c r="L4" s="125"/>
      <c r="M4" s="125" t="s">
        <v>940</v>
      </c>
      <c r="O4" s="18"/>
    </row>
    <row r="5" spans="1:15" x14ac:dyDescent="0.3">
      <c r="B5" s="59"/>
      <c r="C5" s="3"/>
      <c r="D5" s="180"/>
      <c r="E5" s="4"/>
      <c r="F5" s="179"/>
      <c r="G5" s="1"/>
      <c r="H5" s="4"/>
      <c r="I5" s="1"/>
      <c r="J5" s="125"/>
      <c r="K5" s="125"/>
      <c r="L5" s="125"/>
      <c r="M5" s="125"/>
      <c r="O5" s="18"/>
    </row>
    <row r="6" spans="1:15" x14ac:dyDescent="0.3">
      <c r="B6" s="59"/>
      <c r="C6" s="3"/>
      <c r="D6" s="180"/>
      <c r="E6" s="4" t="s">
        <v>935</v>
      </c>
      <c r="F6" s="179"/>
      <c r="G6" s="1"/>
      <c r="H6" s="4"/>
      <c r="I6" s="1"/>
      <c r="J6" s="125"/>
      <c r="K6" s="125"/>
      <c r="L6" s="125"/>
      <c r="M6" s="125"/>
      <c r="O6" s="18"/>
    </row>
    <row r="7" spans="1:15" x14ac:dyDescent="0.3">
      <c r="B7" s="59"/>
      <c r="C7" s="3"/>
      <c r="D7" s="180"/>
      <c r="E7"/>
      <c r="F7" s="181"/>
      <c r="G7" s="1" t="s">
        <v>936</v>
      </c>
      <c r="H7" s="4"/>
      <c r="I7" s="1" t="s">
        <v>937</v>
      </c>
      <c r="J7" s="125"/>
      <c r="K7" s="125"/>
      <c r="L7" s="125"/>
      <c r="M7" s="125">
        <v>34</v>
      </c>
      <c r="N7" t="s">
        <v>534</v>
      </c>
      <c r="O7" s="18" t="s">
        <v>955</v>
      </c>
    </row>
    <row r="8" spans="1:15" x14ac:dyDescent="0.3">
      <c r="B8" s="59"/>
      <c r="C8" s="3"/>
      <c r="D8" s="180"/>
      <c r="E8" t="s">
        <v>586</v>
      </c>
      <c r="F8"/>
      <c r="G8"/>
      <c r="H8"/>
      <c r="I8" s="1"/>
      <c r="J8" s="125"/>
      <c r="K8" s="125"/>
      <c r="L8" s="125"/>
      <c r="M8" s="125"/>
      <c r="O8" s="64"/>
    </row>
    <row r="9" spans="1:15" x14ac:dyDescent="0.3">
      <c r="B9" s="59"/>
      <c r="C9" s="3"/>
      <c r="D9" s="180"/>
      <c r="E9">
        <v>500194</v>
      </c>
      <c r="F9"/>
      <c r="G9"/>
      <c r="H9"/>
      <c r="I9" s="1"/>
      <c r="J9" s="125"/>
      <c r="K9" s="125"/>
      <c r="L9" s="125"/>
      <c r="M9" s="125">
        <v>-50</v>
      </c>
      <c r="N9" t="s">
        <v>966</v>
      </c>
      <c r="O9" s="64"/>
    </row>
    <row r="10" spans="1:15" x14ac:dyDescent="0.3">
      <c r="B10" s="59"/>
      <c r="C10" s="3"/>
      <c r="D10" s="180"/>
      <c r="E10">
        <v>500200</v>
      </c>
      <c r="F10"/>
      <c r="G10"/>
      <c r="H10"/>
      <c r="I10" s="1"/>
      <c r="J10" s="125"/>
      <c r="K10" s="125"/>
      <c r="L10" s="125"/>
      <c r="M10" s="125">
        <v>-50</v>
      </c>
      <c r="N10" t="s">
        <v>90</v>
      </c>
      <c r="O10" s="64"/>
    </row>
    <row r="11" spans="1:15" x14ac:dyDescent="0.3">
      <c r="B11" s="59"/>
      <c r="C11" s="3"/>
      <c r="D11" s="180"/>
      <c r="E11">
        <v>500756</v>
      </c>
      <c r="F11"/>
      <c r="G11"/>
      <c r="H11"/>
      <c r="I11" s="1"/>
      <c r="J11" s="125"/>
      <c r="K11" s="125"/>
      <c r="L11" s="125"/>
      <c r="M11" s="125">
        <v>-50</v>
      </c>
      <c r="N11" t="s">
        <v>90</v>
      </c>
      <c r="O11" s="64" t="s">
        <v>963</v>
      </c>
    </row>
    <row r="12" spans="1:15" x14ac:dyDescent="0.3">
      <c r="B12" s="59"/>
      <c r="C12" s="3"/>
      <c r="D12" s="180"/>
      <c r="E12">
        <v>500134</v>
      </c>
      <c r="F12" s="179"/>
      <c r="G12" s="1"/>
      <c r="H12" s="4"/>
      <c r="I12" s="1"/>
      <c r="J12" s="125"/>
      <c r="K12" s="125"/>
      <c r="L12" s="125"/>
      <c r="M12" s="125">
        <v>-15.51</v>
      </c>
      <c r="N12" t="s">
        <v>966</v>
      </c>
      <c r="O12" s="64"/>
    </row>
    <row r="13" spans="1:15" x14ac:dyDescent="0.3">
      <c r="B13" s="59"/>
      <c r="C13" s="3"/>
      <c r="D13" s="180"/>
      <c r="E13" s="4"/>
      <c r="F13" s="179"/>
      <c r="G13" s="1"/>
      <c r="H13"/>
      <c r="I13" s="1"/>
      <c r="J13" s="125"/>
      <c r="K13" s="125"/>
      <c r="L13" s="125"/>
      <c r="M13" s="125"/>
      <c r="O13" s="64"/>
    </row>
    <row r="14" spans="1:15" ht="13.5" thickBot="1" x14ac:dyDescent="0.35">
      <c r="B14" s="59"/>
      <c r="C14" s="3"/>
      <c r="D14" s="180"/>
      <c r="E14" s="4"/>
      <c r="F14" s="179"/>
      <c r="G14" s="1"/>
      <c r="H14" s="4"/>
      <c r="I14" s="1"/>
      <c r="J14" s="125"/>
      <c r="K14" s="125"/>
      <c r="L14" s="125"/>
      <c r="M14" s="125"/>
      <c r="O14" s="64"/>
    </row>
    <row r="15" spans="1:15" ht="13.5" thickBot="1" x14ac:dyDescent="0.35">
      <c r="B15" s="59"/>
      <c r="C15" s="3"/>
      <c r="D15" s="180"/>
      <c r="E15" s="4" t="s">
        <v>75</v>
      </c>
      <c r="F15" s="179"/>
      <c r="G15" s="1"/>
      <c r="H15" s="4"/>
      <c r="I15" s="1"/>
      <c r="J15" s="125"/>
      <c r="K15" s="125"/>
      <c r="L15" s="125"/>
      <c r="M15" s="126">
        <f>SUM(M3:M13)</f>
        <v>21616.030000000002</v>
      </c>
      <c r="O15" s="18"/>
    </row>
    <row r="16" spans="1:15" ht="13.5" thickTop="1" x14ac:dyDescent="0.3">
      <c r="B16" s="59"/>
      <c r="C16" s="3"/>
      <c r="D16" s="180"/>
      <c r="E16" s="4"/>
      <c r="F16" s="179"/>
      <c r="G16" s="1"/>
      <c r="H16" s="4"/>
      <c r="I16" s="1"/>
      <c r="J16" s="125"/>
      <c r="K16" s="125"/>
      <c r="L16" s="125"/>
      <c r="M16" s="125"/>
      <c r="O16" s="18"/>
    </row>
    <row r="17" spans="2:15" x14ac:dyDescent="0.3">
      <c r="B17" s="59"/>
      <c r="C17" s="3"/>
      <c r="D17" s="180"/>
      <c r="E17"/>
      <c r="F17" s="130"/>
      <c r="G17" s="1"/>
      <c r="H17"/>
      <c r="I17" s="1"/>
      <c r="J17" s="125"/>
      <c r="K17" s="125"/>
      <c r="L17" s="125"/>
      <c r="M17" s="125"/>
      <c r="N17" s="125"/>
      <c r="O17" s="18"/>
    </row>
    <row r="18" spans="2:15" x14ac:dyDescent="0.3">
      <c r="B18" s="59"/>
      <c r="C18" s="3"/>
      <c r="D18" s="180"/>
      <c r="E18"/>
      <c r="F18" s="130"/>
      <c r="G18" s="1"/>
      <c r="H18"/>
      <c r="I18" s="1"/>
      <c r="J18" s="125"/>
      <c r="K18" s="125"/>
      <c r="L18" s="125"/>
      <c r="M18" s="125"/>
      <c r="N18" s="125"/>
      <c r="O18" s="18"/>
    </row>
    <row r="19" spans="2:15" x14ac:dyDescent="0.3">
      <c r="B19" s="59"/>
      <c r="C19" s="3"/>
      <c r="D19" s="180"/>
      <c r="E19"/>
      <c r="F19" s="130"/>
      <c r="G19" s="1"/>
      <c r="H19"/>
      <c r="I19" s="1"/>
      <c r="J19" s="125"/>
      <c r="K19" s="125"/>
      <c r="L19" s="125"/>
      <c r="M19" s="125"/>
      <c r="N19" s="125"/>
      <c r="O19" s="18"/>
    </row>
    <row r="20" spans="2:15" x14ac:dyDescent="0.3">
      <c r="B20" s="59"/>
      <c r="C20" s="3"/>
      <c r="D20" s="180"/>
      <c r="E20" s="4"/>
      <c r="F20" s="129"/>
      <c r="G20" s="1"/>
      <c r="H20" s="4"/>
      <c r="I20" s="1"/>
      <c r="J20" s="125"/>
      <c r="K20" s="125"/>
      <c r="L20" s="125"/>
      <c r="M20" s="125"/>
      <c r="N20" s="125"/>
      <c r="O20" s="18"/>
    </row>
    <row r="21" spans="2:15" x14ac:dyDescent="0.3">
      <c r="B21" s="59"/>
      <c r="C21" s="3"/>
      <c r="D21" s="180"/>
      <c r="E21" s="4"/>
      <c r="F21" s="179"/>
      <c r="G21" s="1"/>
      <c r="H21" s="4"/>
      <c r="I21" s="1"/>
      <c r="J21" s="125"/>
      <c r="K21" s="125"/>
      <c r="L21" s="125"/>
      <c r="M21" s="125"/>
      <c r="N21" s="125"/>
      <c r="O21" s="18"/>
    </row>
    <row r="22" spans="2:15" x14ac:dyDescent="0.3">
      <c r="B22" s="59"/>
      <c r="C22" s="174"/>
      <c r="D22" s="175"/>
      <c r="E22" s="30" t="s">
        <v>938</v>
      </c>
      <c r="F22" s="181"/>
      <c r="G22" s="1"/>
      <c r="H22"/>
      <c r="I22" s="1"/>
      <c r="J22" s="125"/>
      <c r="K22" s="125"/>
      <c r="L22" s="125"/>
      <c r="M22" s="125"/>
      <c r="N22" s="125"/>
      <c r="O22" s="18"/>
    </row>
    <row r="23" spans="2:15" x14ac:dyDescent="0.3">
      <c r="B23" s="59"/>
      <c r="C23" s="174"/>
      <c r="D23" s="175"/>
      <c r="E23" s="30"/>
      <c r="F23" s="181"/>
      <c r="G23" s="1"/>
      <c r="H23"/>
      <c r="I23" s="1"/>
      <c r="J23" s="125"/>
      <c r="K23" s="125"/>
      <c r="L23" s="125"/>
      <c r="M23" s="125"/>
      <c r="N23" s="125"/>
      <c r="O23" s="18"/>
    </row>
    <row r="24" spans="2:15" x14ac:dyDescent="0.3">
      <c r="B24" s="59"/>
      <c r="C24" s="174"/>
      <c r="D24" s="208">
        <v>2017</v>
      </c>
      <c r="E24" s="4" t="s">
        <v>145</v>
      </c>
      <c r="F24" s="179" t="s">
        <v>499</v>
      </c>
      <c r="G24" s="191" t="s">
        <v>147</v>
      </c>
      <c r="H24" s="4"/>
      <c r="I24" s="210"/>
      <c r="J24" s="192">
        <v>50</v>
      </c>
      <c r="K24" s="125" t="s">
        <v>1012</v>
      </c>
      <c r="L24" s="125"/>
      <c r="M24" s="125"/>
      <c r="N24" s="125"/>
      <c r="O24" s="18"/>
    </row>
    <row r="25" spans="2:15" x14ac:dyDescent="0.3">
      <c r="B25" s="59"/>
      <c r="C25" s="174"/>
      <c r="D25" s="175"/>
      <c r="E25" s="4" t="s">
        <v>122</v>
      </c>
      <c r="F25" s="179" t="s">
        <v>499</v>
      </c>
      <c r="G25" s="191" t="s">
        <v>124</v>
      </c>
      <c r="H25" s="4"/>
      <c r="I25" s="210"/>
      <c r="J25" s="192">
        <v>30</v>
      </c>
      <c r="K25" s="125" t="s">
        <v>1012</v>
      </c>
      <c r="L25" s="125"/>
      <c r="M25" s="125"/>
      <c r="N25" s="125"/>
      <c r="O25" s="18"/>
    </row>
    <row r="26" spans="2:15" x14ac:dyDescent="0.3">
      <c r="B26" s="59"/>
      <c r="C26" s="174"/>
      <c r="D26" s="208">
        <v>2018</v>
      </c>
      <c r="E26" s="4" t="s">
        <v>771</v>
      </c>
      <c r="F26" s="179" t="s">
        <v>500</v>
      </c>
      <c r="G26" s="191" t="s">
        <v>814</v>
      </c>
      <c r="H26"/>
      <c r="I26" s="210"/>
      <c r="J26" s="192">
        <v>50</v>
      </c>
      <c r="K26" s="125" t="s">
        <v>1024</v>
      </c>
      <c r="L26" s="125"/>
      <c r="M26" s="125"/>
      <c r="N26" s="125"/>
      <c r="O26" s="18"/>
    </row>
    <row r="27" spans="2:15" x14ac:dyDescent="0.3">
      <c r="B27" s="59"/>
      <c r="C27" s="174"/>
      <c r="D27" s="175"/>
      <c r="E27" s="4" t="s">
        <v>821</v>
      </c>
      <c r="F27" s="179" t="s">
        <v>500</v>
      </c>
      <c r="G27" s="191" t="s">
        <v>823</v>
      </c>
      <c r="H27" s="4"/>
      <c r="I27" s="210"/>
      <c r="J27" s="192">
        <v>50</v>
      </c>
      <c r="K27" s="125" t="s">
        <v>957</v>
      </c>
      <c r="L27" s="125"/>
      <c r="M27" s="125"/>
      <c r="N27" s="125"/>
      <c r="O27" s="18"/>
    </row>
    <row r="28" spans="2:15" x14ac:dyDescent="0.3">
      <c r="B28" s="59"/>
      <c r="C28" s="174"/>
      <c r="D28" s="175"/>
      <c r="E28" s="4" t="s">
        <v>841</v>
      </c>
      <c r="F28" s="179" t="s">
        <v>500</v>
      </c>
      <c r="G28" s="191" t="s">
        <v>840</v>
      </c>
      <c r="H28"/>
      <c r="I28" s="210"/>
      <c r="J28" s="192">
        <v>50</v>
      </c>
      <c r="K28" s="125" t="s">
        <v>1012</v>
      </c>
      <c r="L28" s="125"/>
      <c r="M28" s="125"/>
      <c r="N28" s="125"/>
      <c r="O28" s="18"/>
    </row>
    <row r="29" spans="2:15" x14ac:dyDescent="0.3">
      <c r="B29" s="59"/>
      <c r="C29" s="174"/>
      <c r="D29" s="175"/>
      <c r="E29" s="4" t="s">
        <v>882</v>
      </c>
      <c r="F29" s="179" t="s">
        <v>500</v>
      </c>
      <c r="G29" s="191" t="s">
        <v>881</v>
      </c>
      <c r="H29" s="4"/>
      <c r="I29" s="210"/>
      <c r="J29" s="192">
        <v>50</v>
      </c>
      <c r="K29" s="125" t="s">
        <v>957</v>
      </c>
      <c r="L29" s="125"/>
      <c r="M29" s="125"/>
      <c r="N29" s="125"/>
      <c r="O29" s="18"/>
    </row>
    <row r="30" spans="2:15" x14ac:dyDescent="0.3">
      <c r="B30" s="59"/>
      <c r="C30" s="174"/>
      <c r="D30" s="175"/>
      <c r="E30" s="4"/>
      <c r="F30" s="179"/>
      <c r="G30" s="191"/>
      <c r="H30" s="4"/>
      <c r="I30" s="210"/>
      <c r="J30" s="192"/>
      <c r="K30" s="125"/>
      <c r="L30" s="125"/>
      <c r="M30" s="125"/>
      <c r="N30" s="125"/>
      <c r="O30" s="18"/>
    </row>
    <row r="31" spans="2:15" x14ac:dyDescent="0.3">
      <c r="B31" s="59"/>
      <c r="C31" s="174"/>
      <c r="D31" s="175"/>
      <c r="E31"/>
      <c r="F31" s="181"/>
      <c r="G31" s="1"/>
      <c r="H31"/>
      <c r="I31" s="1"/>
      <c r="J31" s="125"/>
      <c r="K31" s="125"/>
      <c r="L31" s="125"/>
      <c r="M31" s="125"/>
      <c r="N31" s="125"/>
      <c r="O31" s="18"/>
    </row>
    <row r="32" spans="2:15" x14ac:dyDescent="0.3">
      <c r="B32" s="59"/>
      <c r="C32" s="3"/>
      <c r="D32" s="127"/>
      <c r="E32" s="128"/>
      <c r="F32" s="129"/>
      <c r="G32" s="1"/>
      <c r="H32" s="4"/>
      <c r="I32" s="1"/>
      <c r="J32" s="125"/>
      <c r="K32" s="125"/>
      <c r="L32" s="125"/>
      <c r="M32" s="125"/>
      <c r="N32" s="18"/>
    </row>
    <row r="33" spans="1:18" x14ac:dyDescent="0.3">
      <c r="B33" s="59"/>
      <c r="C33" s="5"/>
      <c r="D33" s="124" t="s">
        <v>671</v>
      </c>
      <c r="E33" s="3"/>
      <c r="G33" s="2"/>
      <c r="H33" s="41">
        <v>280</v>
      </c>
      <c r="I33" s="41"/>
      <c r="J33" s="41"/>
      <c r="K33" s="41"/>
      <c r="L33" s="41"/>
      <c r="M33" s="44"/>
    </row>
    <row r="34" spans="1:18" x14ac:dyDescent="0.3">
      <c r="B34" s="59"/>
      <c r="C34" s="5"/>
      <c r="D34" s="124"/>
      <c r="E34" s="3"/>
      <c r="G34" s="2"/>
      <c r="H34" s="41"/>
      <c r="I34" s="41"/>
      <c r="J34" s="41"/>
      <c r="K34" s="41"/>
      <c r="L34" s="41"/>
      <c r="M34" s="44"/>
    </row>
    <row r="35" spans="1:18" x14ac:dyDescent="0.3">
      <c r="A35" s="12"/>
      <c r="B35" s="29"/>
      <c r="C35" s="5"/>
      <c r="D35" s="124"/>
      <c r="E35" s="2"/>
      <c r="G35" s="2"/>
      <c r="H35" s="41"/>
      <c r="I35" s="41"/>
      <c r="J35" s="41"/>
      <c r="K35" s="41"/>
      <c r="L35" s="41"/>
      <c r="M35" s="44"/>
    </row>
    <row r="36" spans="1:18" x14ac:dyDescent="0.3">
      <c r="A36" s="28"/>
      <c r="B36" s="29"/>
      <c r="C36" s="5" t="s">
        <v>112</v>
      </c>
      <c r="D36" s="124"/>
      <c r="E36" s="31"/>
      <c r="G36" s="2"/>
      <c r="H36" s="41"/>
      <c r="I36" s="41"/>
      <c r="J36" s="41"/>
      <c r="K36" s="41"/>
      <c r="L36" s="41"/>
      <c r="M36" s="44"/>
    </row>
    <row r="37" spans="1:18" x14ac:dyDescent="0.3">
      <c r="A37" s="28"/>
      <c r="B37" s="29"/>
      <c r="C37" s="5" t="s">
        <v>113</v>
      </c>
      <c r="D37" s="124"/>
      <c r="E37" s="32"/>
      <c r="G37" s="2"/>
      <c r="H37" s="41"/>
      <c r="I37" s="41"/>
      <c r="J37" s="41"/>
      <c r="K37" s="78" t="s">
        <v>503</v>
      </c>
      <c r="L37" s="75">
        <f>+M15</f>
        <v>21616.030000000002</v>
      </c>
      <c r="M37" s="44"/>
    </row>
    <row r="38" spans="1:18" x14ac:dyDescent="0.3">
      <c r="A38" s="12"/>
      <c r="B38" s="29"/>
      <c r="C38" s="11"/>
      <c r="D38" s="27"/>
      <c r="F38" s="11"/>
    </row>
    <row r="39" spans="1:18" s="23" customFormat="1" x14ac:dyDescent="0.3">
      <c r="A39" s="28" t="s">
        <v>495</v>
      </c>
      <c r="B39" s="107" t="s">
        <v>496</v>
      </c>
      <c r="C39" s="74" t="s">
        <v>497</v>
      </c>
      <c r="D39" s="113" t="s">
        <v>498</v>
      </c>
      <c r="E39" s="22"/>
      <c r="F39" s="74"/>
      <c r="G39" s="22"/>
      <c r="H39" s="75" t="s">
        <v>502</v>
      </c>
      <c r="I39" s="75" t="s">
        <v>501</v>
      </c>
      <c r="J39" s="75" t="s">
        <v>56</v>
      </c>
      <c r="K39" s="75" t="s">
        <v>493</v>
      </c>
      <c r="L39" s="75"/>
      <c r="M39" s="76"/>
      <c r="O39" s="77"/>
      <c r="Q39" s="74"/>
    </row>
    <row r="40" spans="1:18" x14ac:dyDescent="0.3">
      <c r="A40" s="12"/>
      <c r="B40" s="105" t="s">
        <v>482</v>
      </c>
      <c r="C40" s="4" t="s">
        <v>907</v>
      </c>
      <c r="D40" s="132" t="s">
        <v>512</v>
      </c>
      <c r="E40" s="120" t="s">
        <v>954</v>
      </c>
      <c r="F40" s="27"/>
      <c r="G40" s="33"/>
      <c r="H40" s="42">
        <v>51</v>
      </c>
      <c r="I40" s="42"/>
      <c r="J40" s="42"/>
      <c r="K40" s="43">
        <f>H40+J40</f>
        <v>51</v>
      </c>
      <c r="L40" s="43">
        <f>L37+K40</f>
        <v>21667.030000000002</v>
      </c>
      <c r="M40" s="18" t="s">
        <v>534</v>
      </c>
      <c r="N40" s="18"/>
    </row>
    <row r="41" spans="1:18" x14ac:dyDescent="0.3">
      <c r="A41" s="12"/>
      <c r="B41" s="105" t="s">
        <v>482</v>
      </c>
      <c r="C41" s="4" t="s">
        <v>907</v>
      </c>
      <c r="D41" s="112" t="s">
        <v>500</v>
      </c>
      <c r="E41" s="121" t="s">
        <v>594</v>
      </c>
      <c r="F41" s="27"/>
      <c r="G41" s="33"/>
      <c r="H41" s="49">
        <v>49</v>
      </c>
      <c r="I41" s="42"/>
      <c r="J41" s="42"/>
      <c r="K41" s="43">
        <f t="shared" ref="K41:K105" si="0">H41+J41</f>
        <v>49</v>
      </c>
      <c r="L41" s="43">
        <f t="shared" ref="L41:L105" si="1">L40+K41</f>
        <v>21716.030000000002</v>
      </c>
      <c r="M41" s="18" t="s">
        <v>534</v>
      </c>
    </row>
    <row r="42" spans="1:18" x14ac:dyDescent="0.3">
      <c r="A42" s="12"/>
      <c r="B42" s="105" t="s">
        <v>482</v>
      </c>
      <c r="C42" s="4" t="s">
        <v>908</v>
      </c>
      <c r="D42" s="132" t="s">
        <v>512</v>
      </c>
      <c r="E42" s="120"/>
      <c r="F42" s="27"/>
      <c r="G42" s="33"/>
      <c r="H42" s="42">
        <v>51</v>
      </c>
      <c r="I42" s="33"/>
      <c r="J42" s="42"/>
      <c r="K42" s="43">
        <f t="shared" si="0"/>
        <v>51</v>
      </c>
      <c r="L42" s="43">
        <f t="shared" si="1"/>
        <v>21767.030000000002</v>
      </c>
      <c r="M42" s="18" t="s">
        <v>412</v>
      </c>
    </row>
    <row r="43" spans="1:18" x14ac:dyDescent="0.3">
      <c r="A43" s="12"/>
      <c r="B43" s="105" t="s">
        <v>482</v>
      </c>
      <c r="C43" s="4" t="s">
        <v>908</v>
      </c>
      <c r="D43" s="112" t="s">
        <v>500</v>
      </c>
      <c r="E43" s="121" t="s">
        <v>593</v>
      </c>
      <c r="F43" s="27"/>
      <c r="G43" s="120"/>
      <c r="H43" s="49">
        <v>50</v>
      </c>
      <c r="I43" s="42"/>
      <c r="J43" s="42"/>
      <c r="K43" s="43">
        <f t="shared" si="0"/>
        <v>50</v>
      </c>
      <c r="L43" s="43">
        <f t="shared" si="1"/>
        <v>21817.030000000002</v>
      </c>
      <c r="M43" s="18" t="s">
        <v>412</v>
      </c>
    </row>
    <row r="44" spans="1:18" x14ac:dyDescent="0.3">
      <c r="A44" s="12"/>
      <c r="B44" s="105" t="s">
        <v>482</v>
      </c>
      <c r="C44" s="4" t="s">
        <v>909</v>
      </c>
      <c r="D44" s="132" t="s">
        <v>513</v>
      </c>
      <c r="E44" s="120" t="s">
        <v>910</v>
      </c>
      <c r="F44" s="27"/>
      <c r="G44" s="33"/>
      <c r="H44" s="51">
        <v>263.2</v>
      </c>
      <c r="I44" s="42"/>
      <c r="J44" s="42"/>
      <c r="K44" s="43">
        <f t="shared" si="0"/>
        <v>263.2</v>
      </c>
      <c r="L44" s="43">
        <f t="shared" si="1"/>
        <v>22080.230000000003</v>
      </c>
      <c r="M44" s="18" t="s">
        <v>90</v>
      </c>
    </row>
    <row r="45" spans="1:18" x14ac:dyDescent="0.3">
      <c r="A45" s="12"/>
      <c r="B45" s="105" t="s">
        <v>482</v>
      </c>
      <c r="C45" s="4" t="s">
        <v>529</v>
      </c>
      <c r="D45" s="132" t="s">
        <v>513</v>
      </c>
      <c r="E45" s="120" t="s">
        <v>911</v>
      </c>
      <c r="F45" s="27"/>
      <c r="G45" s="33"/>
      <c r="H45" s="51">
        <v>1088</v>
      </c>
      <c r="I45" s="42"/>
      <c r="J45" s="42"/>
      <c r="K45" s="43">
        <f t="shared" si="0"/>
        <v>1088</v>
      </c>
      <c r="L45" s="43">
        <f t="shared" si="1"/>
        <v>23168.230000000003</v>
      </c>
      <c r="M45" s="18" t="s">
        <v>90</v>
      </c>
    </row>
    <row r="46" spans="1:18" x14ac:dyDescent="0.3">
      <c r="A46" s="12"/>
      <c r="B46" s="105" t="s">
        <v>482</v>
      </c>
      <c r="C46" s="4" t="s">
        <v>174</v>
      </c>
      <c r="D46" s="132" t="s">
        <v>513</v>
      </c>
      <c r="E46" s="120" t="s">
        <v>912</v>
      </c>
      <c r="F46" s="27"/>
      <c r="G46" s="33"/>
      <c r="H46" s="51">
        <v>3213</v>
      </c>
      <c r="I46" s="42"/>
      <c r="J46" s="42"/>
      <c r="K46" s="43">
        <f t="shared" si="0"/>
        <v>3213</v>
      </c>
      <c r="L46" s="43">
        <f t="shared" si="1"/>
        <v>26381.230000000003</v>
      </c>
      <c r="M46" s="18" t="s">
        <v>90</v>
      </c>
    </row>
    <row r="47" spans="1:18" x14ac:dyDescent="0.3">
      <c r="A47" s="12"/>
      <c r="B47" s="105" t="s">
        <v>482</v>
      </c>
      <c r="C47" s="4" t="s">
        <v>913</v>
      </c>
      <c r="D47" s="112" t="s">
        <v>504</v>
      </c>
      <c r="E47" s="121" t="s">
        <v>951</v>
      </c>
      <c r="F47" s="27"/>
      <c r="G47" s="33">
        <v>500757</v>
      </c>
      <c r="H47" s="42"/>
      <c r="I47" s="42"/>
      <c r="J47" s="49">
        <v>-50</v>
      </c>
      <c r="K47" s="43">
        <f t="shared" si="0"/>
        <v>-50</v>
      </c>
      <c r="L47" s="43">
        <f t="shared" si="1"/>
        <v>26331.230000000003</v>
      </c>
      <c r="M47" s="18" t="s">
        <v>90</v>
      </c>
      <c r="R47" s="209"/>
    </row>
    <row r="48" spans="1:18" x14ac:dyDescent="0.3">
      <c r="A48" s="12"/>
      <c r="B48" s="105" t="s">
        <v>482</v>
      </c>
      <c r="C48" s="4" t="s">
        <v>129</v>
      </c>
      <c r="D48" s="132" t="s">
        <v>513</v>
      </c>
      <c r="E48" s="120" t="s">
        <v>914</v>
      </c>
      <c r="F48" s="27"/>
      <c r="G48" s="33"/>
      <c r="H48" s="51">
        <v>454.3</v>
      </c>
      <c r="I48" s="42"/>
      <c r="J48" s="42"/>
      <c r="K48" s="43">
        <f t="shared" si="0"/>
        <v>454.3</v>
      </c>
      <c r="L48" s="43">
        <f t="shared" si="1"/>
        <v>26785.530000000002</v>
      </c>
      <c r="M48" s="18" t="s">
        <v>90</v>
      </c>
      <c r="R48" s="58"/>
    </row>
    <row r="49" spans="1:23" x14ac:dyDescent="0.3">
      <c r="A49" s="12"/>
      <c r="B49" s="105" t="s">
        <v>482</v>
      </c>
      <c r="C49" s="4" t="s">
        <v>58</v>
      </c>
      <c r="D49" s="112" t="s">
        <v>8</v>
      </c>
      <c r="E49" s="1" t="s">
        <v>915</v>
      </c>
      <c r="F49" s="27"/>
      <c r="G49" s="33"/>
      <c r="H49" s="42"/>
      <c r="I49" s="42"/>
      <c r="J49" s="42">
        <v>-999.64</v>
      </c>
      <c r="K49" s="43">
        <f t="shared" si="0"/>
        <v>-999.64</v>
      </c>
      <c r="L49" s="43">
        <f t="shared" si="1"/>
        <v>25785.890000000003</v>
      </c>
      <c r="M49" s="18" t="s">
        <v>90</v>
      </c>
      <c r="R49" s="209"/>
    </row>
    <row r="50" spans="1:23" x14ac:dyDescent="0.3">
      <c r="A50" s="12"/>
      <c r="B50" s="105" t="s">
        <v>482</v>
      </c>
      <c r="C50" s="4" t="s">
        <v>907</v>
      </c>
      <c r="D50" s="112" t="s">
        <v>504</v>
      </c>
      <c r="E50" s="121" t="s">
        <v>916</v>
      </c>
      <c r="F50" s="27"/>
      <c r="G50" s="33">
        <v>500758</v>
      </c>
      <c r="H50" s="42"/>
      <c r="I50" s="42"/>
      <c r="J50" s="49">
        <v>-49</v>
      </c>
      <c r="K50" s="43">
        <f t="shared" si="0"/>
        <v>-49</v>
      </c>
      <c r="L50" s="43">
        <f t="shared" si="1"/>
        <v>25736.890000000003</v>
      </c>
      <c r="M50" s="18" t="s">
        <v>90</v>
      </c>
    </row>
    <row r="51" spans="1:23" x14ac:dyDescent="0.3">
      <c r="A51" s="12"/>
      <c r="B51" s="105" t="s">
        <v>482</v>
      </c>
      <c r="C51" s="4" t="s">
        <v>475</v>
      </c>
      <c r="D51" s="132" t="s">
        <v>513</v>
      </c>
      <c r="E51" s="120" t="s">
        <v>918</v>
      </c>
      <c r="F51" s="27"/>
      <c r="G51" s="33"/>
      <c r="H51" s="51">
        <v>1023.4</v>
      </c>
      <c r="I51" s="42"/>
      <c r="J51" s="42"/>
      <c r="K51" s="43">
        <f t="shared" si="0"/>
        <v>1023.4</v>
      </c>
      <c r="L51" s="43">
        <f t="shared" si="1"/>
        <v>26760.290000000005</v>
      </c>
      <c r="M51" s="18" t="s">
        <v>90</v>
      </c>
    </row>
    <row r="52" spans="1:23" x14ac:dyDescent="0.3">
      <c r="A52" s="12"/>
      <c r="B52" s="105" t="s">
        <v>482</v>
      </c>
      <c r="C52" s="4" t="s">
        <v>917</v>
      </c>
      <c r="D52" s="132" t="s">
        <v>512</v>
      </c>
      <c r="E52" s="120" t="s">
        <v>941</v>
      </c>
      <c r="F52" s="27"/>
      <c r="G52" s="33"/>
      <c r="H52" s="42">
        <v>85</v>
      </c>
      <c r="I52" s="42"/>
      <c r="J52" s="42"/>
      <c r="K52" s="43">
        <f t="shared" si="0"/>
        <v>85</v>
      </c>
      <c r="L52" s="43">
        <f t="shared" si="1"/>
        <v>26845.290000000005</v>
      </c>
      <c r="M52" s="18" t="s">
        <v>412</v>
      </c>
    </row>
    <row r="53" spans="1:23" x14ac:dyDescent="0.3">
      <c r="A53" s="12"/>
      <c r="B53" s="105" t="s">
        <v>482</v>
      </c>
      <c r="C53" s="4" t="s">
        <v>917</v>
      </c>
      <c r="D53" s="112" t="s">
        <v>500</v>
      </c>
      <c r="E53" s="121" t="s">
        <v>581</v>
      </c>
      <c r="F53" s="27"/>
      <c r="G53" s="120"/>
      <c r="H53" s="49">
        <v>50</v>
      </c>
      <c r="I53" s="42"/>
      <c r="J53" s="42"/>
      <c r="K53" s="43">
        <f t="shared" si="0"/>
        <v>50</v>
      </c>
      <c r="L53" s="43">
        <f t="shared" si="1"/>
        <v>26895.290000000005</v>
      </c>
      <c r="M53" s="18" t="s">
        <v>412</v>
      </c>
    </row>
    <row r="54" spans="1:23" x14ac:dyDescent="0.3">
      <c r="A54" s="12"/>
      <c r="B54" s="105" t="s">
        <v>482</v>
      </c>
      <c r="C54" s="4" t="s">
        <v>942</v>
      </c>
      <c r="D54" s="132" t="s">
        <v>513</v>
      </c>
      <c r="E54" s="120" t="s">
        <v>943</v>
      </c>
      <c r="F54" s="27"/>
      <c r="G54" s="33"/>
      <c r="H54" s="51">
        <v>56</v>
      </c>
      <c r="I54" s="42"/>
      <c r="J54" s="42"/>
      <c r="K54" s="43">
        <f t="shared" si="0"/>
        <v>56</v>
      </c>
      <c r="L54" s="43">
        <f t="shared" si="1"/>
        <v>26951.290000000005</v>
      </c>
      <c r="M54" s="18" t="s">
        <v>90</v>
      </c>
    </row>
    <row r="55" spans="1:23" x14ac:dyDescent="0.3">
      <c r="A55" s="12"/>
      <c r="B55" s="105" t="s">
        <v>482</v>
      </c>
      <c r="C55" s="4" t="s">
        <v>452</v>
      </c>
      <c r="D55" s="132" t="s">
        <v>513</v>
      </c>
      <c r="E55" s="120" t="s">
        <v>944</v>
      </c>
      <c r="F55" s="27"/>
      <c r="G55" s="33"/>
      <c r="H55" s="51">
        <v>82</v>
      </c>
      <c r="I55" s="171" t="s">
        <v>399</v>
      </c>
      <c r="J55" s="42"/>
      <c r="K55" s="43">
        <f t="shared" si="0"/>
        <v>82</v>
      </c>
      <c r="L55" s="43">
        <f t="shared" si="1"/>
        <v>27033.290000000005</v>
      </c>
      <c r="M55" s="18" t="s">
        <v>534</v>
      </c>
    </row>
    <row r="56" spans="1:23" x14ac:dyDescent="0.3">
      <c r="A56" s="12"/>
      <c r="B56" s="105" t="s">
        <v>482</v>
      </c>
      <c r="C56" s="4" t="s">
        <v>547</v>
      </c>
      <c r="D56" s="132" t="s">
        <v>513</v>
      </c>
      <c r="E56" s="120" t="s">
        <v>945</v>
      </c>
      <c r="F56" s="27"/>
      <c r="G56" s="33"/>
      <c r="H56" s="51">
        <v>108</v>
      </c>
      <c r="I56" s="171" t="s">
        <v>399</v>
      </c>
      <c r="J56" s="42"/>
      <c r="K56" s="43">
        <f t="shared" si="0"/>
        <v>108</v>
      </c>
      <c r="L56" s="43">
        <f t="shared" si="1"/>
        <v>27141.290000000005</v>
      </c>
      <c r="M56" s="18" t="s">
        <v>534</v>
      </c>
    </row>
    <row r="57" spans="1:23" x14ac:dyDescent="0.3">
      <c r="A57" s="12"/>
      <c r="B57" s="105" t="s">
        <v>482</v>
      </c>
      <c r="C57" s="4" t="s">
        <v>178</v>
      </c>
      <c r="D57" s="132" t="s">
        <v>513</v>
      </c>
      <c r="E57" s="120" t="s">
        <v>946</v>
      </c>
      <c r="F57" s="27"/>
      <c r="G57" s="33"/>
      <c r="H57" s="51">
        <v>529.88</v>
      </c>
      <c r="I57" s="171" t="s">
        <v>399</v>
      </c>
      <c r="J57" s="42"/>
      <c r="K57" s="43">
        <f t="shared" si="0"/>
        <v>529.88</v>
      </c>
      <c r="L57" s="43">
        <f t="shared" si="1"/>
        <v>27671.170000000006</v>
      </c>
      <c r="M57" s="18" t="s">
        <v>534</v>
      </c>
    </row>
    <row r="58" spans="1:23" x14ac:dyDescent="0.3">
      <c r="A58" s="12"/>
      <c r="B58" s="105" t="s">
        <v>482</v>
      </c>
      <c r="C58" s="4" t="s">
        <v>166</v>
      </c>
      <c r="D58" s="132" t="s">
        <v>513</v>
      </c>
      <c r="E58" s="120" t="s">
        <v>948</v>
      </c>
      <c r="F58" s="27"/>
      <c r="G58" s="33"/>
      <c r="H58" s="51">
        <v>272</v>
      </c>
      <c r="I58" s="42"/>
      <c r="J58" s="42"/>
      <c r="K58" s="43">
        <f t="shared" si="0"/>
        <v>272</v>
      </c>
      <c r="L58" s="43">
        <f t="shared" si="1"/>
        <v>27943.170000000006</v>
      </c>
      <c r="M58" s="18" t="s">
        <v>90</v>
      </c>
      <c r="R58" s="30" t="s">
        <v>962</v>
      </c>
    </row>
    <row r="59" spans="1:23" x14ac:dyDescent="0.3">
      <c r="B59" s="105" t="s">
        <v>482</v>
      </c>
      <c r="C59" s="4" t="s">
        <v>950</v>
      </c>
      <c r="D59" s="133" t="s">
        <v>512</v>
      </c>
      <c r="E59" s="120"/>
      <c r="F59" s="27"/>
      <c r="G59" s="33"/>
      <c r="H59" s="42">
        <v>8</v>
      </c>
      <c r="I59" s="42"/>
      <c r="J59" s="42"/>
      <c r="K59" s="43">
        <f t="shared" ref="K59:K71" si="2">H59+J59</f>
        <v>8</v>
      </c>
      <c r="L59" s="43">
        <f t="shared" si="1"/>
        <v>27951.170000000006</v>
      </c>
      <c r="M59" s="18" t="s">
        <v>90</v>
      </c>
    </row>
    <row r="60" spans="1:23" x14ac:dyDescent="0.3">
      <c r="B60" s="105" t="s">
        <v>482</v>
      </c>
      <c r="C60" s="4" t="s">
        <v>879</v>
      </c>
      <c r="D60" s="132" t="s">
        <v>513</v>
      </c>
      <c r="E60" s="120" t="s">
        <v>952</v>
      </c>
      <c r="F60" s="27"/>
      <c r="G60" s="33"/>
      <c r="H60" s="51">
        <v>132</v>
      </c>
      <c r="I60" s="42"/>
      <c r="J60" s="42"/>
      <c r="K60" s="43">
        <f t="shared" si="2"/>
        <v>132</v>
      </c>
      <c r="L60" s="43">
        <f t="shared" si="1"/>
        <v>28083.170000000006</v>
      </c>
      <c r="M60" s="18" t="s">
        <v>90</v>
      </c>
    </row>
    <row r="61" spans="1:23" x14ac:dyDescent="0.3">
      <c r="B61" s="105" t="s">
        <v>482</v>
      </c>
      <c r="C61" s="4" t="s">
        <v>128</v>
      </c>
      <c r="D61" s="133" t="s">
        <v>513</v>
      </c>
      <c r="E61" s="120" t="s">
        <v>953</v>
      </c>
      <c r="F61" s="27"/>
      <c r="G61" s="33"/>
      <c r="H61" s="51">
        <v>661.15</v>
      </c>
      <c r="I61" s="42"/>
      <c r="J61" s="42"/>
      <c r="K61" s="43">
        <f t="shared" si="2"/>
        <v>661.15</v>
      </c>
      <c r="L61" s="43">
        <f t="shared" si="1"/>
        <v>28744.320000000007</v>
      </c>
      <c r="M61" s="18" t="s">
        <v>90</v>
      </c>
      <c r="R61" t="s">
        <v>584</v>
      </c>
      <c r="V61" s="15">
        <v>29575.360000000001</v>
      </c>
    </row>
    <row r="62" spans="1:23" x14ac:dyDescent="0.3">
      <c r="A62" s="12"/>
      <c r="B62" s="105" t="s">
        <v>482</v>
      </c>
      <c r="C62" s="4" t="s">
        <v>571</v>
      </c>
      <c r="D62" s="132" t="s">
        <v>512</v>
      </c>
      <c r="E62" s="33"/>
      <c r="F62" s="27"/>
      <c r="G62" s="33"/>
      <c r="H62" s="42">
        <v>24</v>
      </c>
      <c r="I62" s="171" t="s">
        <v>399</v>
      </c>
      <c r="J62" s="42"/>
      <c r="K62" s="43">
        <f t="shared" si="2"/>
        <v>24</v>
      </c>
      <c r="L62" s="43">
        <f t="shared" si="1"/>
        <v>28768.320000000007</v>
      </c>
      <c r="M62" s="18" t="s">
        <v>534</v>
      </c>
      <c r="R62" t="s">
        <v>608</v>
      </c>
      <c r="U62" s="43"/>
    </row>
    <row r="63" spans="1:23" x14ac:dyDescent="0.3">
      <c r="A63" s="12"/>
      <c r="B63" s="105" t="s">
        <v>482</v>
      </c>
      <c r="C63" s="4" t="s">
        <v>604</v>
      </c>
      <c r="D63" s="132" t="s">
        <v>512</v>
      </c>
      <c r="E63" s="120"/>
      <c r="F63" s="27"/>
      <c r="G63" s="33"/>
      <c r="H63" s="42">
        <v>25.5</v>
      </c>
      <c r="I63" s="171" t="s">
        <v>399</v>
      </c>
      <c r="J63" s="42"/>
      <c r="K63" s="43">
        <f t="shared" si="2"/>
        <v>25.5</v>
      </c>
      <c r="L63" s="43">
        <f t="shared" si="1"/>
        <v>28793.820000000007</v>
      </c>
      <c r="M63" s="18" t="s">
        <v>534</v>
      </c>
      <c r="R63" t="s">
        <v>994</v>
      </c>
      <c r="U63" s="43"/>
      <c r="V63" s="11">
        <v>765.34</v>
      </c>
      <c r="W63" t="s">
        <v>610</v>
      </c>
    </row>
    <row r="64" spans="1:23" x14ac:dyDescent="0.3">
      <c r="A64" s="12"/>
      <c r="B64" s="105" t="s">
        <v>482</v>
      </c>
      <c r="C64" s="4" t="s">
        <v>949</v>
      </c>
      <c r="D64" s="133" t="s">
        <v>622</v>
      </c>
      <c r="E64" s="33"/>
      <c r="F64" s="27"/>
      <c r="G64" s="33"/>
      <c r="H64" s="42">
        <v>40</v>
      </c>
      <c r="I64" s="171" t="s">
        <v>399</v>
      </c>
      <c r="J64" s="42"/>
      <c r="K64" s="43">
        <f t="shared" si="2"/>
        <v>40</v>
      </c>
      <c r="L64" s="43">
        <f t="shared" si="1"/>
        <v>28833.820000000007</v>
      </c>
      <c r="M64" s="18" t="s">
        <v>534</v>
      </c>
      <c r="R64"/>
      <c r="U64" s="43"/>
      <c r="V64" s="11"/>
      <c r="W64"/>
    </row>
    <row r="65" spans="1:24" x14ac:dyDescent="0.3">
      <c r="A65" s="12"/>
      <c r="B65" s="105" t="s">
        <v>482</v>
      </c>
      <c r="C65" s="4" t="s">
        <v>58</v>
      </c>
      <c r="D65" s="133" t="s">
        <v>9</v>
      </c>
      <c r="E65" s="1" t="s">
        <v>937</v>
      </c>
      <c r="F65" s="4"/>
      <c r="G65" s="1"/>
      <c r="H65" s="125"/>
      <c r="I65" s="125"/>
      <c r="J65" s="125">
        <v>-113.72</v>
      </c>
      <c r="K65" s="43">
        <f t="shared" si="2"/>
        <v>-113.72</v>
      </c>
      <c r="L65" s="43">
        <f t="shared" si="1"/>
        <v>28720.100000000006</v>
      </c>
      <c r="M65" s="18" t="s">
        <v>90</v>
      </c>
      <c r="R65"/>
      <c r="U65" s="43"/>
      <c r="V65" s="4"/>
      <c r="W65"/>
    </row>
    <row r="66" spans="1:24" x14ac:dyDescent="0.3">
      <c r="A66" s="12"/>
      <c r="B66" s="105" t="s">
        <v>482</v>
      </c>
      <c r="C66" s="4" t="s">
        <v>533</v>
      </c>
      <c r="D66" s="133" t="s">
        <v>12</v>
      </c>
      <c r="E66" s="1"/>
      <c r="F66" s="4"/>
      <c r="G66" s="1"/>
      <c r="H66" s="125"/>
      <c r="I66" s="125"/>
      <c r="J66" s="125">
        <v>-295.61</v>
      </c>
      <c r="K66" s="43">
        <f t="shared" si="2"/>
        <v>-295.61</v>
      </c>
      <c r="L66" s="43">
        <f t="shared" si="1"/>
        <v>28424.490000000005</v>
      </c>
      <c r="M66" s="18" t="s">
        <v>90</v>
      </c>
      <c r="P66"/>
      <c r="V66" s="11"/>
    </row>
    <row r="67" spans="1:24" x14ac:dyDescent="0.3">
      <c r="A67" s="12"/>
      <c r="B67" s="105" t="s">
        <v>482</v>
      </c>
      <c r="C67" s="4" t="s">
        <v>299</v>
      </c>
      <c r="D67" s="133" t="s">
        <v>301</v>
      </c>
      <c r="E67" s="1"/>
      <c r="F67" s="4"/>
      <c r="G67" s="1"/>
      <c r="H67" s="125"/>
      <c r="I67" s="125"/>
      <c r="J67" s="125">
        <v>-46.2</v>
      </c>
      <c r="K67" s="43">
        <f t="shared" si="2"/>
        <v>-46.2</v>
      </c>
      <c r="L67" s="43">
        <f t="shared" si="1"/>
        <v>28378.290000000005</v>
      </c>
      <c r="M67" s="18" t="s">
        <v>90</v>
      </c>
      <c r="R67" t="s">
        <v>586</v>
      </c>
      <c r="U67" s="43"/>
      <c r="V67" s="11"/>
    </row>
    <row r="68" spans="1:24" x14ac:dyDescent="0.3">
      <c r="A68" s="12"/>
      <c r="B68" s="105" t="s">
        <v>482</v>
      </c>
      <c r="C68" s="4" t="s">
        <v>607</v>
      </c>
      <c r="D68" s="133" t="s">
        <v>11</v>
      </c>
      <c r="E68" s="1"/>
      <c r="F68" s="4"/>
      <c r="G68" s="1"/>
      <c r="H68" s="125"/>
      <c r="I68" s="125"/>
      <c r="J68" s="125">
        <v>-110.2</v>
      </c>
      <c r="K68" s="43">
        <f t="shared" si="2"/>
        <v>-110.2</v>
      </c>
      <c r="L68" s="43">
        <f t="shared" si="1"/>
        <v>28268.090000000004</v>
      </c>
      <c r="M68" s="18" t="s">
        <v>90</v>
      </c>
      <c r="N68"/>
      <c r="R68"/>
      <c r="U68" s="43"/>
      <c r="V68" s="11"/>
      <c r="W68"/>
    </row>
    <row r="69" spans="1:24" x14ac:dyDescent="0.3">
      <c r="A69" s="12"/>
      <c r="B69" s="105" t="s">
        <v>482</v>
      </c>
      <c r="C69" s="4" t="s">
        <v>48</v>
      </c>
      <c r="D69" s="133" t="s">
        <v>12</v>
      </c>
      <c r="E69" s="1"/>
      <c r="F69" s="4"/>
      <c r="G69" s="1"/>
      <c r="H69" s="125"/>
      <c r="I69" s="125"/>
      <c r="J69" s="125">
        <v>-141.99</v>
      </c>
      <c r="K69" s="43">
        <f t="shared" si="2"/>
        <v>-141.99</v>
      </c>
      <c r="L69" s="43">
        <f t="shared" si="1"/>
        <v>28126.100000000002</v>
      </c>
      <c r="M69" s="18" t="s">
        <v>90</v>
      </c>
      <c r="N69" s="25"/>
      <c r="R69"/>
      <c r="V69" s="11"/>
      <c r="W69"/>
    </row>
    <row r="70" spans="1:24" x14ac:dyDescent="0.3">
      <c r="A70" s="12"/>
      <c r="B70" s="131" t="s">
        <v>482</v>
      </c>
      <c r="C70" s="4" t="s">
        <v>579</v>
      </c>
      <c r="D70" s="112" t="s">
        <v>504</v>
      </c>
      <c r="E70" s="121" t="s">
        <v>958</v>
      </c>
      <c r="G70" s="13">
        <v>500759</v>
      </c>
      <c r="J70" s="49">
        <v>-50</v>
      </c>
      <c r="K70" s="43">
        <f t="shared" si="2"/>
        <v>-50</v>
      </c>
      <c r="L70" s="43">
        <f t="shared" si="1"/>
        <v>28076.100000000002</v>
      </c>
      <c r="M70" s="18" t="s">
        <v>611</v>
      </c>
      <c r="N70"/>
      <c r="R70" s="15">
        <v>500759</v>
      </c>
      <c r="V70" s="4">
        <v>-50</v>
      </c>
      <c r="W70" t="s">
        <v>611</v>
      </c>
    </row>
    <row r="71" spans="1:24" x14ac:dyDescent="0.3">
      <c r="A71" s="12"/>
      <c r="B71" s="105" t="s">
        <v>482</v>
      </c>
      <c r="C71" s="4" t="s">
        <v>956</v>
      </c>
      <c r="D71" s="112" t="s">
        <v>504</v>
      </c>
      <c r="E71" s="121" t="s">
        <v>959</v>
      </c>
      <c r="G71" s="13">
        <v>500760</v>
      </c>
      <c r="J71" s="49">
        <v>-50</v>
      </c>
      <c r="K71" s="43">
        <f t="shared" si="2"/>
        <v>-50</v>
      </c>
      <c r="L71" s="43">
        <f t="shared" si="1"/>
        <v>28026.100000000002</v>
      </c>
      <c r="M71" s="18" t="s">
        <v>90</v>
      </c>
      <c r="R71"/>
      <c r="V71" s="4"/>
      <c r="W71"/>
    </row>
    <row r="72" spans="1:24" x14ac:dyDescent="0.3">
      <c r="A72" s="12"/>
      <c r="B72" s="105" t="s">
        <v>482</v>
      </c>
      <c r="C72" s="4" t="s">
        <v>960</v>
      </c>
      <c r="D72" s="133" t="s">
        <v>622</v>
      </c>
      <c r="E72" s="33"/>
      <c r="F72" s="52"/>
      <c r="G72" s="33"/>
      <c r="H72" s="42">
        <v>80</v>
      </c>
      <c r="I72" s="42"/>
      <c r="J72" s="42"/>
      <c r="K72" s="43">
        <f t="shared" si="0"/>
        <v>80</v>
      </c>
      <c r="L72" s="43">
        <f t="shared" si="1"/>
        <v>28106.100000000002</v>
      </c>
      <c r="M72" s="18" t="s">
        <v>90</v>
      </c>
      <c r="R72" t="s">
        <v>997</v>
      </c>
      <c r="S72"/>
      <c r="U72" s="43"/>
      <c r="V72" s="4">
        <v>-1449.4</v>
      </c>
      <c r="W72" t="s">
        <v>610</v>
      </c>
    </row>
    <row r="73" spans="1:24" x14ac:dyDescent="0.3">
      <c r="A73" s="12"/>
      <c r="B73" s="105" t="s">
        <v>482</v>
      </c>
      <c r="C73" s="4" t="s">
        <v>142</v>
      </c>
      <c r="D73" s="133" t="s">
        <v>513</v>
      </c>
      <c r="E73" s="120" t="s">
        <v>961</v>
      </c>
      <c r="F73" s="52"/>
      <c r="G73" s="33"/>
      <c r="H73" s="51">
        <v>455.7</v>
      </c>
      <c r="I73" s="42"/>
      <c r="J73" s="42"/>
      <c r="K73" s="43">
        <f t="shared" si="0"/>
        <v>455.7</v>
      </c>
      <c r="L73" s="43">
        <f t="shared" si="1"/>
        <v>28561.800000000003</v>
      </c>
      <c r="M73" s="18" t="s">
        <v>90</v>
      </c>
      <c r="R73"/>
      <c r="U73" s="43"/>
      <c r="V73" s="4"/>
      <c r="W73"/>
    </row>
    <row r="74" spans="1:24" x14ac:dyDescent="0.3">
      <c r="A74" s="12"/>
      <c r="B74" s="105" t="s">
        <v>482</v>
      </c>
      <c r="C74" s="4" t="s">
        <v>964</v>
      </c>
      <c r="D74" s="132" t="s">
        <v>512</v>
      </c>
      <c r="E74" s="120"/>
      <c r="F74" s="27"/>
      <c r="G74" s="33"/>
      <c r="H74" s="42">
        <v>76.5</v>
      </c>
      <c r="I74" s="42"/>
      <c r="J74" s="42"/>
      <c r="K74" s="43">
        <f t="shared" si="0"/>
        <v>76.5</v>
      </c>
      <c r="L74" s="43">
        <f t="shared" si="1"/>
        <v>28638.300000000003</v>
      </c>
      <c r="M74" s="18" t="s">
        <v>90</v>
      </c>
    </row>
    <row r="75" spans="1:24" x14ac:dyDescent="0.3">
      <c r="A75" s="12"/>
      <c r="B75" s="105" t="s">
        <v>482</v>
      </c>
      <c r="C75" s="4" t="s">
        <v>964</v>
      </c>
      <c r="D75" s="112" t="s">
        <v>500</v>
      </c>
      <c r="E75" s="121" t="s">
        <v>590</v>
      </c>
      <c r="F75" s="27"/>
      <c r="G75" s="120"/>
      <c r="H75" s="49">
        <v>50</v>
      </c>
      <c r="I75" s="42"/>
      <c r="J75" s="42"/>
      <c r="K75" s="43">
        <f t="shared" si="0"/>
        <v>50</v>
      </c>
      <c r="L75" s="43">
        <f t="shared" si="1"/>
        <v>28688.300000000003</v>
      </c>
      <c r="M75" s="18" t="s">
        <v>90</v>
      </c>
      <c r="V75" s="4"/>
      <c r="W75"/>
    </row>
    <row r="76" spans="1:24" x14ac:dyDescent="0.3">
      <c r="A76" s="12"/>
      <c r="B76" s="105" t="s">
        <v>482</v>
      </c>
      <c r="C76" s="4" t="s">
        <v>838</v>
      </c>
      <c r="D76" s="132" t="s">
        <v>512</v>
      </c>
      <c r="E76" s="120"/>
      <c r="F76" s="27"/>
      <c r="G76" s="33"/>
      <c r="H76" s="42">
        <v>42.5</v>
      </c>
      <c r="I76" s="42"/>
      <c r="J76" s="42"/>
      <c r="K76" s="43">
        <f t="shared" si="0"/>
        <v>42.5</v>
      </c>
      <c r="L76" s="43">
        <f t="shared" si="1"/>
        <v>28730.800000000003</v>
      </c>
      <c r="M76" s="18" t="s">
        <v>90</v>
      </c>
    </row>
    <row r="77" spans="1:24" x14ac:dyDescent="0.3">
      <c r="A77" s="12"/>
      <c r="B77" s="105" t="s">
        <v>482</v>
      </c>
      <c r="C77" s="4" t="s">
        <v>965</v>
      </c>
      <c r="D77" s="132" t="s">
        <v>512</v>
      </c>
      <c r="E77" s="33"/>
      <c r="F77" s="27"/>
      <c r="G77" s="33"/>
      <c r="H77" s="42">
        <v>34</v>
      </c>
      <c r="I77" s="42"/>
      <c r="J77" s="42"/>
      <c r="K77" s="43">
        <f t="shared" si="0"/>
        <v>34</v>
      </c>
      <c r="L77" s="43">
        <f t="shared" si="1"/>
        <v>28764.800000000003</v>
      </c>
      <c r="M77" s="18" t="s">
        <v>90</v>
      </c>
      <c r="U77" s="43"/>
      <c r="V77" s="57">
        <f>SUM(U72:U77)</f>
        <v>0</v>
      </c>
    </row>
    <row r="78" spans="1:24" x14ac:dyDescent="0.3">
      <c r="A78" s="12"/>
      <c r="B78" s="105" t="s">
        <v>482</v>
      </c>
      <c r="C78" s="4" t="s">
        <v>917</v>
      </c>
      <c r="D78" s="132" t="s">
        <v>512</v>
      </c>
      <c r="E78" s="33"/>
      <c r="F78" s="27"/>
      <c r="G78" s="33"/>
      <c r="H78" s="42">
        <v>25.5</v>
      </c>
      <c r="I78" s="42"/>
      <c r="J78" s="42"/>
      <c r="K78" s="43">
        <f t="shared" si="0"/>
        <v>25.5</v>
      </c>
      <c r="L78" s="43">
        <f t="shared" si="1"/>
        <v>28790.300000000003</v>
      </c>
      <c r="M78" s="18" t="s">
        <v>90</v>
      </c>
    </row>
    <row r="79" spans="1:24" x14ac:dyDescent="0.3">
      <c r="A79" s="12"/>
      <c r="B79" s="105" t="s">
        <v>482</v>
      </c>
      <c r="C79" s="4" t="s">
        <v>967</v>
      </c>
      <c r="D79" s="132" t="s">
        <v>512</v>
      </c>
      <c r="E79" s="33"/>
      <c r="F79" s="27"/>
      <c r="G79" s="33"/>
      <c r="H79" s="42">
        <v>51</v>
      </c>
      <c r="I79" s="42"/>
      <c r="J79" s="42"/>
      <c r="K79" s="43">
        <f t="shared" si="0"/>
        <v>51</v>
      </c>
      <c r="L79" s="75">
        <f t="shared" si="1"/>
        <v>28841.300000000003</v>
      </c>
      <c r="M79" s="18" t="s">
        <v>90</v>
      </c>
      <c r="R79" t="s">
        <v>652</v>
      </c>
      <c r="V79" s="74">
        <f>SUM(V61:V77)</f>
        <v>28841.3</v>
      </c>
      <c r="X79" s="23" t="s">
        <v>588</v>
      </c>
    </row>
    <row r="80" spans="1:24" x14ac:dyDescent="0.3">
      <c r="A80" s="28" t="s">
        <v>78</v>
      </c>
      <c r="B80" s="105"/>
      <c r="D80" s="112"/>
      <c r="E80" s="33"/>
      <c r="F80" s="27"/>
      <c r="G80" s="33"/>
      <c r="H80" s="42"/>
      <c r="I80" s="42"/>
      <c r="J80" s="42"/>
      <c r="L80" s="43">
        <f t="shared" si="1"/>
        <v>28841.300000000003</v>
      </c>
    </row>
    <row r="81" spans="1:13" x14ac:dyDescent="0.3">
      <c r="A81" s="28"/>
      <c r="B81" s="105" t="s">
        <v>483</v>
      </c>
      <c r="C81" s="4" t="s">
        <v>968</v>
      </c>
      <c r="D81" s="133" t="s">
        <v>513</v>
      </c>
      <c r="E81" s="120" t="s">
        <v>969</v>
      </c>
      <c r="F81" s="27"/>
      <c r="G81" s="33"/>
      <c r="H81" s="51">
        <v>40</v>
      </c>
      <c r="I81" s="42"/>
      <c r="J81" s="42"/>
      <c r="K81" s="43">
        <f t="shared" si="0"/>
        <v>40</v>
      </c>
      <c r="L81" s="43">
        <f t="shared" si="1"/>
        <v>28881.300000000003</v>
      </c>
      <c r="M81" s="18" t="s">
        <v>610</v>
      </c>
    </row>
    <row r="82" spans="1:13" x14ac:dyDescent="0.3">
      <c r="A82" s="28"/>
      <c r="B82" s="105" t="s">
        <v>483</v>
      </c>
      <c r="C82" s="4" t="s">
        <v>144</v>
      </c>
      <c r="D82" s="133" t="s">
        <v>513</v>
      </c>
      <c r="E82" s="120" t="s">
        <v>971</v>
      </c>
      <c r="F82" s="27"/>
      <c r="G82" s="33"/>
      <c r="H82" s="51">
        <v>229.6</v>
      </c>
      <c r="I82" s="42"/>
      <c r="J82" s="42"/>
      <c r="K82" s="43">
        <f t="shared" si="0"/>
        <v>229.6</v>
      </c>
      <c r="L82" s="43">
        <f t="shared" si="1"/>
        <v>29110.9</v>
      </c>
      <c r="M82" s="18" t="s">
        <v>995</v>
      </c>
    </row>
    <row r="83" spans="1:13" x14ac:dyDescent="0.3">
      <c r="A83" s="28"/>
      <c r="B83" s="105" t="s">
        <v>483</v>
      </c>
      <c r="C83" s="4" t="s">
        <v>970</v>
      </c>
      <c r="D83" s="133" t="s">
        <v>513</v>
      </c>
      <c r="E83" s="120" t="s">
        <v>972</v>
      </c>
      <c r="F83" s="27"/>
      <c r="G83" s="33"/>
      <c r="H83" s="51">
        <v>496.8</v>
      </c>
      <c r="I83" s="42"/>
      <c r="J83" s="42"/>
      <c r="K83" s="43">
        <f t="shared" si="0"/>
        <v>496.8</v>
      </c>
      <c r="L83" s="43">
        <f t="shared" si="1"/>
        <v>29607.7</v>
      </c>
      <c r="M83" s="18" t="s">
        <v>995</v>
      </c>
    </row>
    <row r="84" spans="1:13" x14ac:dyDescent="0.3">
      <c r="A84" s="28"/>
      <c r="B84" s="105" t="s">
        <v>483</v>
      </c>
      <c r="C84" s="4" t="s">
        <v>973</v>
      </c>
      <c r="D84" s="133" t="s">
        <v>518</v>
      </c>
      <c r="E84" s="120" t="s">
        <v>974</v>
      </c>
      <c r="F84" s="27"/>
      <c r="G84" s="33"/>
      <c r="H84" s="42"/>
      <c r="I84" s="42"/>
      <c r="J84" s="42">
        <v>-765.34</v>
      </c>
      <c r="K84" s="43">
        <f t="shared" si="0"/>
        <v>-765.34</v>
      </c>
      <c r="L84" s="43">
        <f t="shared" si="1"/>
        <v>28842.36</v>
      </c>
      <c r="M84" s="18" t="s">
        <v>90</v>
      </c>
    </row>
    <row r="85" spans="1:13" x14ac:dyDescent="0.3">
      <c r="A85" s="28"/>
      <c r="B85" s="105" t="s">
        <v>483</v>
      </c>
      <c r="C85" s="4" t="s">
        <v>975</v>
      </c>
      <c r="D85" s="133" t="s">
        <v>513</v>
      </c>
      <c r="E85" s="120" t="s">
        <v>977</v>
      </c>
      <c r="F85" s="27"/>
      <c r="G85" s="33"/>
      <c r="H85" s="51">
        <v>137.19999999999999</v>
      </c>
      <c r="I85" s="42"/>
      <c r="J85" s="42"/>
      <c r="K85" s="43">
        <f t="shared" si="0"/>
        <v>137.19999999999999</v>
      </c>
      <c r="L85" s="43">
        <f t="shared" si="1"/>
        <v>28979.56</v>
      </c>
      <c r="M85" s="18" t="s">
        <v>995</v>
      </c>
    </row>
    <row r="86" spans="1:13" x14ac:dyDescent="0.3">
      <c r="A86" s="12"/>
      <c r="B86" s="105" t="s">
        <v>483</v>
      </c>
      <c r="C86" s="4" t="s">
        <v>976</v>
      </c>
      <c r="D86" s="133" t="s">
        <v>513</v>
      </c>
      <c r="E86" s="120" t="s">
        <v>978</v>
      </c>
      <c r="F86" s="27"/>
      <c r="G86" s="33"/>
      <c r="H86" s="51">
        <v>181.3</v>
      </c>
      <c r="I86" s="42"/>
      <c r="J86" s="42"/>
      <c r="K86" s="43">
        <f t="shared" si="0"/>
        <v>181.3</v>
      </c>
      <c r="L86" s="43">
        <f t="shared" si="1"/>
        <v>29160.86</v>
      </c>
      <c r="M86" s="18" t="s">
        <v>995</v>
      </c>
    </row>
    <row r="87" spans="1:13" x14ac:dyDescent="0.3">
      <c r="A87" s="12"/>
      <c r="B87" s="105" t="s">
        <v>483</v>
      </c>
      <c r="C87" s="4"/>
      <c r="D87" s="133"/>
      <c r="E87" s="120"/>
      <c r="F87" s="27"/>
      <c r="G87" s="33"/>
      <c r="H87" s="42">
        <v>0</v>
      </c>
      <c r="I87" s="42"/>
      <c r="J87" s="42"/>
      <c r="K87" s="43">
        <f t="shared" si="0"/>
        <v>0</v>
      </c>
      <c r="L87" s="43">
        <f t="shared" si="1"/>
        <v>29160.86</v>
      </c>
      <c r="M87" s="18" t="s">
        <v>90</v>
      </c>
    </row>
    <row r="88" spans="1:13" x14ac:dyDescent="0.3">
      <c r="A88" s="12"/>
      <c r="B88" s="105" t="s">
        <v>483</v>
      </c>
      <c r="C88" s="4" t="s">
        <v>964</v>
      </c>
      <c r="D88" s="112" t="s">
        <v>504</v>
      </c>
      <c r="E88" s="121" t="s">
        <v>980</v>
      </c>
      <c r="F88" s="27"/>
      <c r="G88" s="33">
        <v>500761</v>
      </c>
      <c r="H88" s="42"/>
      <c r="I88" s="42"/>
      <c r="J88" s="49">
        <v>-50</v>
      </c>
      <c r="K88" s="43">
        <f t="shared" si="0"/>
        <v>-50</v>
      </c>
      <c r="L88" s="43">
        <f t="shared" si="1"/>
        <v>29110.86</v>
      </c>
      <c r="M88" s="18" t="s">
        <v>90</v>
      </c>
    </row>
    <row r="89" spans="1:13" x14ac:dyDescent="0.3">
      <c r="A89" s="12"/>
      <c r="B89" s="105" t="s">
        <v>483</v>
      </c>
      <c r="C89" s="4" t="s">
        <v>979</v>
      </c>
      <c r="D89" s="112" t="s">
        <v>504</v>
      </c>
      <c r="E89" s="121" t="s">
        <v>981</v>
      </c>
      <c r="F89" s="27"/>
      <c r="G89" s="33">
        <v>500762</v>
      </c>
      <c r="H89" s="42"/>
      <c r="I89" s="42"/>
      <c r="J89" s="49">
        <v>-50</v>
      </c>
      <c r="K89" s="43">
        <f t="shared" si="0"/>
        <v>-50</v>
      </c>
      <c r="L89" s="43">
        <f t="shared" si="1"/>
        <v>29060.86</v>
      </c>
      <c r="M89" s="18" t="s">
        <v>90</v>
      </c>
    </row>
    <row r="90" spans="1:13" x14ac:dyDescent="0.3">
      <c r="A90" s="12"/>
      <c r="B90" s="105" t="s">
        <v>483</v>
      </c>
      <c r="C90" s="4" t="s">
        <v>979</v>
      </c>
      <c r="D90" s="132" t="s">
        <v>512</v>
      </c>
      <c r="E90" s="120"/>
      <c r="F90" s="27"/>
      <c r="G90" s="33">
        <v>500762</v>
      </c>
      <c r="H90" s="42"/>
      <c r="I90" s="42"/>
      <c r="J90" s="42">
        <v>-25</v>
      </c>
      <c r="K90" s="43">
        <f t="shared" si="0"/>
        <v>-25</v>
      </c>
      <c r="L90" s="43">
        <f t="shared" si="1"/>
        <v>29035.86</v>
      </c>
      <c r="M90" s="18" t="s">
        <v>90</v>
      </c>
    </row>
    <row r="91" spans="1:13" x14ac:dyDescent="0.3">
      <c r="A91" s="12"/>
      <c r="B91" s="105" t="s">
        <v>483</v>
      </c>
      <c r="C91" s="4" t="s">
        <v>982</v>
      </c>
      <c r="D91" s="132" t="s">
        <v>512</v>
      </c>
      <c r="E91" s="120" t="s">
        <v>983</v>
      </c>
      <c r="F91" s="27"/>
      <c r="G91" s="33"/>
      <c r="H91" s="42">
        <v>51</v>
      </c>
      <c r="I91" s="42"/>
      <c r="J91" s="211"/>
      <c r="K91" s="43">
        <f t="shared" si="0"/>
        <v>51</v>
      </c>
      <c r="L91" s="43">
        <f t="shared" si="1"/>
        <v>29086.86</v>
      </c>
      <c r="M91" s="18" t="s">
        <v>412</v>
      </c>
    </row>
    <row r="92" spans="1:13" x14ac:dyDescent="0.3">
      <c r="B92" s="105" t="s">
        <v>483</v>
      </c>
      <c r="C92" s="4" t="s">
        <v>982</v>
      </c>
      <c r="D92" s="112" t="s">
        <v>500</v>
      </c>
      <c r="E92" s="121" t="s">
        <v>170</v>
      </c>
      <c r="F92" s="27"/>
      <c r="G92" s="210"/>
      <c r="H92" s="49">
        <v>50</v>
      </c>
      <c r="I92" s="42"/>
      <c r="J92" s="42"/>
      <c r="K92" s="43">
        <f t="shared" si="0"/>
        <v>50</v>
      </c>
      <c r="L92" s="43">
        <f t="shared" si="1"/>
        <v>29136.86</v>
      </c>
      <c r="M92" s="16" t="s">
        <v>412</v>
      </c>
    </row>
    <row r="93" spans="1:13" x14ac:dyDescent="0.3">
      <c r="B93" s="105" t="s">
        <v>483</v>
      </c>
      <c r="C93" s="4" t="s">
        <v>984</v>
      </c>
      <c r="D93" s="132" t="s">
        <v>512</v>
      </c>
      <c r="H93" s="42">
        <v>30</v>
      </c>
      <c r="I93" s="42"/>
      <c r="J93" s="42"/>
      <c r="K93" s="43">
        <f t="shared" si="0"/>
        <v>30</v>
      </c>
      <c r="L93" s="43">
        <f t="shared" si="1"/>
        <v>29166.86</v>
      </c>
      <c r="M93" s="18" t="s">
        <v>90</v>
      </c>
    </row>
    <row r="94" spans="1:13" x14ac:dyDescent="0.3">
      <c r="B94" s="105" t="s">
        <v>483</v>
      </c>
      <c r="C94" s="4" t="s">
        <v>985</v>
      </c>
      <c r="D94" s="132" t="s">
        <v>512</v>
      </c>
      <c r="E94" s="120" t="s">
        <v>989</v>
      </c>
      <c r="F94" s="27"/>
      <c r="G94" s="33"/>
      <c r="H94" s="42">
        <v>30</v>
      </c>
      <c r="I94" s="42"/>
      <c r="J94" s="42"/>
      <c r="K94" s="43">
        <f t="shared" si="0"/>
        <v>30</v>
      </c>
      <c r="L94" s="43">
        <f t="shared" si="1"/>
        <v>29196.86</v>
      </c>
      <c r="M94" s="18" t="s">
        <v>995</v>
      </c>
    </row>
    <row r="95" spans="1:13" x14ac:dyDescent="0.3">
      <c r="B95" s="105" t="s">
        <v>483</v>
      </c>
      <c r="C95" s="4" t="s">
        <v>985</v>
      </c>
      <c r="D95" s="112" t="s">
        <v>500</v>
      </c>
      <c r="E95" s="121" t="s">
        <v>987</v>
      </c>
      <c r="F95" s="27"/>
      <c r="G95" s="210"/>
      <c r="H95" s="49">
        <v>100</v>
      </c>
      <c r="I95" s="42"/>
      <c r="J95" s="42"/>
      <c r="K95" s="43">
        <f t="shared" si="0"/>
        <v>100</v>
      </c>
      <c r="L95" s="43">
        <f t="shared" si="1"/>
        <v>29296.86</v>
      </c>
      <c r="M95" s="18" t="s">
        <v>995</v>
      </c>
    </row>
    <row r="96" spans="1:13" x14ac:dyDescent="0.3">
      <c r="B96" s="105" t="s">
        <v>483</v>
      </c>
      <c r="C96" s="4" t="s">
        <v>986</v>
      </c>
      <c r="D96" s="132" t="s">
        <v>512</v>
      </c>
      <c r="E96" s="168" t="s">
        <v>988</v>
      </c>
      <c r="F96" s="27"/>
      <c r="G96" s="120"/>
      <c r="H96" s="42">
        <v>30</v>
      </c>
      <c r="I96" s="42"/>
      <c r="J96" s="42"/>
      <c r="K96" s="43">
        <f t="shared" si="0"/>
        <v>30</v>
      </c>
      <c r="L96" s="43">
        <f t="shared" si="1"/>
        <v>29326.86</v>
      </c>
      <c r="M96" s="18" t="s">
        <v>995</v>
      </c>
    </row>
    <row r="97" spans="1:23" x14ac:dyDescent="0.3">
      <c r="A97" s="12"/>
      <c r="B97" s="105" t="s">
        <v>483</v>
      </c>
      <c r="C97" s="4" t="s">
        <v>986</v>
      </c>
      <c r="D97" s="112" t="s">
        <v>500</v>
      </c>
      <c r="E97" s="191" t="s">
        <v>602</v>
      </c>
      <c r="F97" s="27"/>
      <c r="G97" s="210"/>
      <c r="H97" s="49">
        <v>120</v>
      </c>
      <c r="I97" s="42"/>
      <c r="J97" s="42"/>
      <c r="K97" s="43">
        <f t="shared" si="0"/>
        <v>120</v>
      </c>
      <c r="L97" s="43">
        <f t="shared" si="1"/>
        <v>29446.86</v>
      </c>
      <c r="M97" s="18" t="s">
        <v>995</v>
      </c>
    </row>
    <row r="98" spans="1:23" x14ac:dyDescent="0.3">
      <c r="B98" s="105" t="s">
        <v>483</v>
      </c>
      <c r="C98" s="4" t="s">
        <v>990</v>
      </c>
      <c r="D98" s="133" t="s">
        <v>623</v>
      </c>
      <c r="E98" s="120" t="s">
        <v>991</v>
      </c>
      <c r="F98" s="27"/>
      <c r="G98" s="120"/>
      <c r="H98" s="42"/>
      <c r="I98" s="42"/>
      <c r="J98" s="42">
        <v>-53.82</v>
      </c>
      <c r="K98" s="43">
        <f t="shared" si="0"/>
        <v>-53.82</v>
      </c>
      <c r="L98" s="43">
        <f t="shared" si="1"/>
        <v>29393.040000000001</v>
      </c>
      <c r="M98" s="16" t="s">
        <v>90</v>
      </c>
    </row>
    <row r="99" spans="1:23" x14ac:dyDescent="0.3">
      <c r="B99" s="105" t="s">
        <v>483</v>
      </c>
      <c r="C99" s="4" t="s">
        <v>338</v>
      </c>
      <c r="D99" s="132" t="s">
        <v>512</v>
      </c>
      <c r="E99" s="120" t="s">
        <v>999</v>
      </c>
      <c r="F99" s="27"/>
      <c r="G99" s="120"/>
      <c r="H99" s="42">
        <v>12</v>
      </c>
      <c r="I99" s="42"/>
      <c r="J99" s="42"/>
      <c r="K99" s="43">
        <f t="shared" si="0"/>
        <v>12</v>
      </c>
      <c r="L99" s="43">
        <f t="shared" si="1"/>
        <v>29405.040000000001</v>
      </c>
      <c r="M99" s="18" t="s">
        <v>90</v>
      </c>
    </row>
    <row r="100" spans="1:23" x14ac:dyDescent="0.3">
      <c r="B100" s="105" t="s">
        <v>483</v>
      </c>
      <c r="C100" s="4" t="s">
        <v>992</v>
      </c>
      <c r="D100" s="132" t="s">
        <v>512</v>
      </c>
      <c r="E100" s="120" t="s">
        <v>998</v>
      </c>
      <c r="F100" s="27"/>
      <c r="G100" s="168"/>
      <c r="H100" s="42">
        <v>30</v>
      </c>
      <c r="I100" s="42"/>
      <c r="J100" s="42"/>
      <c r="K100" s="43">
        <f t="shared" si="0"/>
        <v>30</v>
      </c>
      <c r="L100" s="43">
        <f t="shared" si="1"/>
        <v>29435.040000000001</v>
      </c>
      <c r="M100" s="16" t="s">
        <v>90</v>
      </c>
      <c r="R100" s="30" t="s">
        <v>1039</v>
      </c>
    </row>
    <row r="101" spans="1:23" x14ac:dyDescent="0.3">
      <c r="B101" s="105" t="s">
        <v>483</v>
      </c>
      <c r="C101" s="4" t="s">
        <v>533</v>
      </c>
      <c r="D101" s="133" t="s">
        <v>12</v>
      </c>
      <c r="E101" s="1"/>
      <c r="F101" s="4"/>
      <c r="G101" s="1"/>
      <c r="H101" s="125"/>
      <c r="I101" s="125"/>
      <c r="J101" s="125">
        <v>-295.61</v>
      </c>
      <c r="K101" s="43">
        <f t="shared" si="0"/>
        <v>-295.61</v>
      </c>
      <c r="L101" s="43">
        <f t="shared" si="1"/>
        <v>29139.43</v>
      </c>
      <c r="M101" s="18" t="s">
        <v>90</v>
      </c>
    </row>
    <row r="102" spans="1:23" x14ac:dyDescent="0.3">
      <c r="A102" s="12"/>
      <c r="B102" s="105" t="s">
        <v>483</v>
      </c>
      <c r="C102" s="4" t="s">
        <v>299</v>
      </c>
      <c r="D102" s="133" t="s">
        <v>301</v>
      </c>
      <c r="E102" s="1"/>
      <c r="F102" s="4"/>
      <c r="G102" s="1"/>
      <c r="H102" s="125"/>
      <c r="I102" s="125"/>
      <c r="J102" s="125">
        <v>-35.880000000000003</v>
      </c>
      <c r="K102" s="43">
        <f t="shared" si="0"/>
        <v>-35.880000000000003</v>
      </c>
      <c r="L102" s="43">
        <f t="shared" si="1"/>
        <v>29103.55</v>
      </c>
      <c r="M102" s="18" t="s">
        <v>90</v>
      </c>
      <c r="R102" t="s">
        <v>584</v>
      </c>
      <c r="V102" s="15">
        <v>28755.46</v>
      </c>
    </row>
    <row r="103" spans="1:23" x14ac:dyDescent="0.3">
      <c r="A103" s="12"/>
      <c r="B103" s="105" t="s">
        <v>483</v>
      </c>
      <c r="C103" s="4" t="s">
        <v>607</v>
      </c>
      <c r="D103" s="133" t="s">
        <v>11</v>
      </c>
      <c r="E103" s="1"/>
      <c r="F103" s="4"/>
      <c r="G103" s="1"/>
      <c r="H103" s="125"/>
      <c r="I103" s="125"/>
      <c r="J103" s="125">
        <v>-122.98</v>
      </c>
      <c r="K103" s="43">
        <f t="shared" si="0"/>
        <v>-122.98</v>
      </c>
      <c r="L103" s="43">
        <f t="shared" si="1"/>
        <v>28980.57</v>
      </c>
      <c r="M103" s="16" t="s">
        <v>90</v>
      </c>
    </row>
    <row r="104" spans="1:23" x14ac:dyDescent="0.3">
      <c r="A104" s="12"/>
      <c r="B104" s="105" t="s">
        <v>483</v>
      </c>
      <c r="C104" s="4" t="s">
        <v>48</v>
      </c>
      <c r="D104" s="133" t="s">
        <v>12</v>
      </c>
      <c r="E104" s="1"/>
      <c r="F104" s="4"/>
      <c r="G104" s="1"/>
      <c r="H104" s="125"/>
      <c r="I104" s="125"/>
      <c r="J104" s="125">
        <v>-84.41</v>
      </c>
      <c r="K104" s="43">
        <f t="shared" si="0"/>
        <v>-84.41</v>
      </c>
      <c r="L104" s="43">
        <f t="shared" si="1"/>
        <v>28896.16</v>
      </c>
      <c r="M104" s="16" t="s">
        <v>90</v>
      </c>
      <c r="N104" s="18" t="s">
        <v>993</v>
      </c>
      <c r="R104" t="s">
        <v>650</v>
      </c>
      <c r="U104" s="43"/>
    </row>
    <row r="105" spans="1:23" x14ac:dyDescent="0.3">
      <c r="A105" s="12"/>
      <c r="B105" s="105" t="s">
        <v>483</v>
      </c>
      <c r="C105" s="4" t="s">
        <v>604</v>
      </c>
      <c r="D105" s="132" t="s">
        <v>512</v>
      </c>
      <c r="E105" s="120" t="s">
        <v>1000</v>
      </c>
      <c r="F105" s="27"/>
      <c r="G105" s="33"/>
      <c r="H105" s="42">
        <v>51</v>
      </c>
      <c r="I105" s="42"/>
      <c r="J105" s="42"/>
      <c r="K105" s="43">
        <f t="shared" si="0"/>
        <v>51</v>
      </c>
      <c r="L105" s="43">
        <f t="shared" si="1"/>
        <v>28947.16</v>
      </c>
      <c r="M105" s="16" t="s">
        <v>90</v>
      </c>
      <c r="N105" s="18"/>
      <c r="R105"/>
      <c r="U105" s="43"/>
      <c r="W105"/>
    </row>
    <row r="106" spans="1:23" x14ac:dyDescent="0.3">
      <c r="A106" s="12"/>
      <c r="B106" s="105" t="s">
        <v>483</v>
      </c>
      <c r="C106" s="4" t="s">
        <v>1001</v>
      </c>
      <c r="D106" s="132" t="s">
        <v>512</v>
      </c>
      <c r="E106" s="120"/>
      <c r="F106" s="27"/>
      <c r="G106" s="33"/>
      <c r="H106" s="42">
        <v>8</v>
      </c>
      <c r="I106" s="42"/>
      <c r="J106" s="42"/>
      <c r="K106" s="43">
        <f t="shared" ref="K106:K206" si="3">H106+J106</f>
        <v>8</v>
      </c>
      <c r="L106" s="43">
        <f t="shared" ref="L106:L179" si="4">L105+K106</f>
        <v>28955.16</v>
      </c>
      <c r="M106" s="18" t="s">
        <v>996</v>
      </c>
      <c r="N106" s="18"/>
      <c r="R106" t="s">
        <v>586</v>
      </c>
      <c r="S106"/>
      <c r="U106" s="43"/>
    </row>
    <row r="107" spans="1:23" x14ac:dyDescent="0.3">
      <c r="A107" s="12"/>
      <c r="B107" s="105" t="s">
        <v>483</v>
      </c>
      <c r="C107" s="4" t="s">
        <v>293</v>
      </c>
      <c r="D107" s="132" t="s">
        <v>512</v>
      </c>
      <c r="E107" s="120" t="s">
        <v>1014</v>
      </c>
      <c r="F107" s="27"/>
      <c r="G107" s="33"/>
      <c r="H107" s="42">
        <v>76.5</v>
      </c>
      <c r="I107" s="42"/>
      <c r="J107" s="42"/>
      <c r="K107" s="43">
        <f t="shared" si="3"/>
        <v>76.5</v>
      </c>
      <c r="L107" s="43">
        <f t="shared" si="4"/>
        <v>29031.66</v>
      </c>
      <c r="M107" s="18" t="s">
        <v>996</v>
      </c>
      <c r="N107" s="18"/>
      <c r="R107">
        <v>500763</v>
      </c>
      <c r="S107"/>
      <c r="U107" s="43"/>
      <c r="V107" s="15">
        <v>-50</v>
      </c>
    </row>
    <row r="108" spans="1:23" x14ac:dyDescent="0.3">
      <c r="A108" s="12"/>
      <c r="B108" s="105" t="s">
        <v>483</v>
      </c>
      <c r="C108" s="4" t="s">
        <v>409</v>
      </c>
      <c r="D108" s="132" t="s">
        <v>512</v>
      </c>
      <c r="E108" s="210" t="s">
        <v>1004</v>
      </c>
      <c r="F108" s="27"/>
      <c r="G108" s="210"/>
      <c r="H108" s="42">
        <v>93.5</v>
      </c>
      <c r="I108" s="42"/>
      <c r="J108" s="42"/>
      <c r="K108" s="43">
        <f t="shared" si="3"/>
        <v>93.5</v>
      </c>
      <c r="L108" s="43">
        <f t="shared" si="4"/>
        <v>29125.16</v>
      </c>
      <c r="M108" s="16" t="s">
        <v>587</v>
      </c>
      <c r="N108" s="18"/>
      <c r="U108" s="43"/>
    </row>
    <row r="109" spans="1:23" x14ac:dyDescent="0.3">
      <c r="A109" s="12"/>
      <c r="B109" s="105" t="s">
        <v>483</v>
      </c>
      <c r="C109" s="4" t="s">
        <v>1002</v>
      </c>
      <c r="D109" s="132" t="s">
        <v>512</v>
      </c>
      <c r="E109" s="120" t="s">
        <v>1005</v>
      </c>
      <c r="F109" s="27"/>
      <c r="G109" s="33"/>
      <c r="H109" s="42">
        <v>118.5</v>
      </c>
      <c r="I109" s="42"/>
      <c r="J109" s="42"/>
      <c r="K109" s="43">
        <f t="shared" si="3"/>
        <v>118.5</v>
      </c>
      <c r="L109" s="43">
        <f t="shared" si="4"/>
        <v>29243.66</v>
      </c>
      <c r="M109" s="16" t="s">
        <v>587</v>
      </c>
      <c r="N109" s="18"/>
      <c r="U109" s="43"/>
      <c r="V109" s="57"/>
      <c r="W109"/>
    </row>
    <row r="110" spans="1:23" x14ac:dyDescent="0.3">
      <c r="A110" s="12"/>
      <c r="B110" s="105" t="s">
        <v>483</v>
      </c>
      <c r="C110" s="4" t="s">
        <v>1003</v>
      </c>
      <c r="D110" s="132" t="s">
        <v>512</v>
      </c>
      <c r="E110" s="120" t="s">
        <v>1006</v>
      </c>
      <c r="F110" s="27"/>
      <c r="G110" s="33"/>
      <c r="H110" s="42">
        <v>36</v>
      </c>
      <c r="I110" s="42"/>
      <c r="J110" s="42"/>
      <c r="K110" s="43">
        <f t="shared" si="3"/>
        <v>36</v>
      </c>
      <c r="L110" s="43">
        <f t="shared" si="4"/>
        <v>29279.66</v>
      </c>
      <c r="M110" s="16" t="s">
        <v>587</v>
      </c>
      <c r="N110" s="18"/>
      <c r="W110"/>
    </row>
    <row r="111" spans="1:23" x14ac:dyDescent="0.3">
      <c r="A111" s="12"/>
      <c r="B111" s="105" t="s">
        <v>483</v>
      </c>
      <c r="C111" s="4" t="s">
        <v>1003</v>
      </c>
      <c r="D111" s="112" t="s">
        <v>500</v>
      </c>
      <c r="E111" s="121" t="s">
        <v>627</v>
      </c>
      <c r="F111" s="27"/>
      <c r="G111" s="33"/>
      <c r="H111" s="49">
        <v>50</v>
      </c>
      <c r="I111" s="42"/>
      <c r="J111" s="42"/>
      <c r="K111" s="43">
        <f t="shared" si="3"/>
        <v>50</v>
      </c>
      <c r="L111" s="43">
        <f t="shared" si="4"/>
        <v>29329.66</v>
      </c>
      <c r="M111" s="16" t="s">
        <v>587</v>
      </c>
      <c r="N111" s="18"/>
      <c r="S111"/>
      <c r="U111" s="43"/>
      <c r="V111" s="57"/>
      <c r="W111"/>
    </row>
    <row r="112" spans="1:23" x14ac:dyDescent="0.3">
      <c r="A112" s="12"/>
      <c r="B112" s="105" t="s">
        <v>483</v>
      </c>
      <c r="C112" s="4" t="s">
        <v>984</v>
      </c>
      <c r="D112" s="132" t="s">
        <v>512</v>
      </c>
      <c r="E112" s="120"/>
      <c r="F112" s="27"/>
      <c r="G112" s="33"/>
      <c r="H112" s="42">
        <v>21</v>
      </c>
      <c r="I112" s="42"/>
      <c r="J112" s="42"/>
      <c r="K112" s="43">
        <f t="shared" si="3"/>
        <v>21</v>
      </c>
      <c r="L112" s="43">
        <f t="shared" si="4"/>
        <v>29350.66</v>
      </c>
      <c r="M112" s="16" t="s">
        <v>1011</v>
      </c>
      <c r="N112" s="18"/>
    </row>
    <row r="113" spans="1:23" x14ac:dyDescent="0.3">
      <c r="A113" s="12"/>
      <c r="B113" s="105" t="s">
        <v>483</v>
      </c>
      <c r="C113" s="4" t="s">
        <v>984</v>
      </c>
      <c r="D113" s="112" t="s">
        <v>500</v>
      </c>
      <c r="E113" s="121" t="s">
        <v>173</v>
      </c>
      <c r="F113" s="27"/>
      <c r="G113" s="210"/>
      <c r="H113" s="49">
        <v>50</v>
      </c>
      <c r="I113" s="42"/>
      <c r="J113" s="42"/>
      <c r="K113" s="43">
        <f t="shared" si="3"/>
        <v>50</v>
      </c>
      <c r="L113" s="43">
        <f t="shared" si="4"/>
        <v>29400.66</v>
      </c>
      <c r="M113" s="16" t="s">
        <v>412</v>
      </c>
      <c r="N113" s="18"/>
    </row>
    <row r="114" spans="1:23" x14ac:dyDescent="0.3">
      <c r="A114" s="12"/>
      <c r="B114" s="105" t="s">
        <v>483</v>
      </c>
      <c r="C114" s="4" t="s">
        <v>982</v>
      </c>
      <c r="D114" s="112" t="s">
        <v>504</v>
      </c>
      <c r="E114" s="121" t="s">
        <v>1007</v>
      </c>
      <c r="F114" s="27"/>
      <c r="G114" s="120">
        <v>500763</v>
      </c>
      <c r="H114" s="42"/>
      <c r="I114" s="42"/>
      <c r="J114" s="49">
        <v>-50</v>
      </c>
      <c r="K114" s="43">
        <f t="shared" si="3"/>
        <v>-50</v>
      </c>
      <c r="L114" s="43">
        <f t="shared" si="4"/>
        <v>29350.66</v>
      </c>
      <c r="M114" s="212" t="s">
        <v>1036</v>
      </c>
      <c r="N114" s="18"/>
    </row>
    <row r="115" spans="1:23" x14ac:dyDescent="0.3">
      <c r="A115" s="12"/>
      <c r="B115" s="105" t="s">
        <v>483</v>
      </c>
      <c r="C115" s="4" t="s">
        <v>58</v>
      </c>
      <c r="D115" s="133" t="s">
        <v>9</v>
      </c>
      <c r="E115" s="120" t="s">
        <v>1009</v>
      </c>
      <c r="F115" s="27"/>
      <c r="G115" s="33"/>
      <c r="H115" s="42"/>
      <c r="I115" s="42"/>
      <c r="J115" s="42">
        <v>-291.2</v>
      </c>
      <c r="K115" s="43">
        <f t="shared" si="3"/>
        <v>-291.2</v>
      </c>
      <c r="L115" s="43">
        <f t="shared" si="4"/>
        <v>29059.46</v>
      </c>
      <c r="M115" s="16" t="s">
        <v>90</v>
      </c>
      <c r="N115" s="18"/>
    </row>
    <row r="116" spans="1:23" x14ac:dyDescent="0.3">
      <c r="A116" s="12"/>
      <c r="B116" s="105" t="s">
        <v>483</v>
      </c>
      <c r="C116" s="4" t="s">
        <v>973</v>
      </c>
      <c r="D116" s="133" t="s">
        <v>518</v>
      </c>
      <c r="E116" s="120" t="s">
        <v>1010</v>
      </c>
      <c r="F116" s="27"/>
      <c r="G116" s="120"/>
      <c r="H116" s="42"/>
      <c r="I116" s="42"/>
      <c r="J116" s="42">
        <v>-354</v>
      </c>
      <c r="K116" s="43">
        <f t="shared" si="3"/>
        <v>-354</v>
      </c>
      <c r="L116" s="75">
        <f t="shared" si="4"/>
        <v>28705.46</v>
      </c>
      <c r="M116" s="16" t="s">
        <v>90</v>
      </c>
      <c r="N116" s="18"/>
      <c r="R116" t="s">
        <v>652</v>
      </c>
      <c r="V116" s="15">
        <f>SUM(V102:V115)</f>
        <v>28705.46</v>
      </c>
      <c r="W116" t="s">
        <v>588</v>
      </c>
    </row>
    <row r="117" spans="1:23" x14ac:dyDescent="0.3">
      <c r="A117" s="12"/>
      <c r="B117" s="105"/>
      <c r="C117" s="11"/>
      <c r="D117" s="11"/>
      <c r="E117" s="33"/>
      <c r="F117" s="27"/>
      <c r="G117" s="33"/>
      <c r="H117" s="42"/>
      <c r="I117" s="42"/>
      <c r="J117" s="42"/>
      <c r="K117" s="43">
        <f t="shared" si="3"/>
        <v>0</v>
      </c>
      <c r="L117" s="43">
        <f t="shared" si="4"/>
        <v>28705.46</v>
      </c>
    </row>
    <row r="118" spans="1:23" x14ac:dyDescent="0.3">
      <c r="A118" s="28" t="s">
        <v>79</v>
      </c>
      <c r="B118" s="105"/>
      <c r="C118" s="11"/>
      <c r="D118" s="11"/>
      <c r="E118" s="33"/>
      <c r="F118" s="52"/>
      <c r="G118" s="33"/>
      <c r="H118" s="42"/>
      <c r="I118" s="42"/>
      <c r="J118" s="42"/>
      <c r="K118" s="43">
        <f t="shared" si="3"/>
        <v>0</v>
      </c>
      <c r="L118" s="43">
        <f t="shared" si="4"/>
        <v>28705.46</v>
      </c>
    </row>
    <row r="119" spans="1:23" x14ac:dyDescent="0.3">
      <c r="A119" s="12"/>
      <c r="B119" s="105" t="s">
        <v>484</v>
      </c>
      <c r="C119" s="4" t="s">
        <v>1008</v>
      </c>
      <c r="D119" s="112" t="s">
        <v>504</v>
      </c>
      <c r="E119" s="121" t="s">
        <v>1021</v>
      </c>
      <c r="F119" s="27"/>
      <c r="G119" s="33">
        <v>500764</v>
      </c>
      <c r="H119" s="42"/>
      <c r="I119" s="42"/>
      <c r="J119" s="49">
        <v>-50</v>
      </c>
      <c r="K119" s="43">
        <f t="shared" si="3"/>
        <v>-50</v>
      </c>
      <c r="L119" s="43">
        <f t="shared" si="4"/>
        <v>28655.46</v>
      </c>
      <c r="M119" s="18" t="s">
        <v>90</v>
      </c>
    </row>
    <row r="120" spans="1:23" x14ac:dyDescent="0.3">
      <c r="B120" s="105" t="s">
        <v>484</v>
      </c>
      <c r="C120" s="4" t="s">
        <v>299</v>
      </c>
      <c r="D120" s="133" t="s">
        <v>301</v>
      </c>
      <c r="E120" s="1"/>
      <c r="F120" s="4"/>
      <c r="G120" s="1"/>
      <c r="H120" s="125"/>
      <c r="I120" s="125"/>
      <c r="J120" s="125">
        <v>-35.880000000000003</v>
      </c>
      <c r="K120" s="43">
        <f>H120+J120</f>
        <v>-35.880000000000003</v>
      </c>
      <c r="L120" s="43">
        <f t="shared" si="4"/>
        <v>28619.579999999998</v>
      </c>
      <c r="M120" s="18" t="s">
        <v>90</v>
      </c>
    </row>
    <row r="121" spans="1:23" x14ac:dyDescent="0.3">
      <c r="A121" s="53"/>
      <c r="B121" s="105" t="s">
        <v>484</v>
      </c>
      <c r="C121" s="4" t="s">
        <v>607</v>
      </c>
      <c r="D121" s="133" t="s">
        <v>11</v>
      </c>
      <c r="E121" s="1"/>
      <c r="F121" s="4"/>
      <c r="G121" s="1"/>
      <c r="H121" s="125"/>
      <c r="I121" s="125"/>
      <c r="J121" s="125">
        <v>-122.98</v>
      </c>
      <c r="K121" s="43">
        <f>H121+J121</f>
        <v>-122.98</v>
      </c>
      <c r="L121" s="43">
        <f t="shared" si="4"/>
        <v>28496.6</v>
      </c>
      <c r="M121" s="18" t="s">
        <v>90</v>
      </c>
    </row>
    <row r="122" spans="1:23" x14ac:dyDescent="0.3">
      <c r="A122" s="53"/>
      <c r="B122" s="105" t="s">
        <v>484</v>
      </c>
      <c r="C122" s="4" t="s">
        <v>48</v>
      </c>
      <c r="D122" s="133" t="s">
        <v>12</v>
      </c>
      <c r="E122" s="1"/>
      <c r="F122" s="4"/>
      <c r="G122" s="1"/>
      <c r="H122" s="125"/>
      <c r="I122" s="125"/>
      <c r="J122" s="125">
        <v>-71.599999999999994</v>
      </c>
      <c r="K122" s="43">
        <f>H122+J122</f>
        <v>-71.599999999999994</v>
      </c>
      <c r="L122" s="43">
        <f t="shared" si="4"/>
        <v>28425</v>
      </c>
      <c r="M122" s="18" t="s">
        <v>90</v>
      </c>
    </row>
    <row r="123" spans="1:23" x14ac:dyDescent="0.3">
      <c r="B123" s="105" t="s">
        <v>484</v>
      </c>
      <c r="C123" s="4" t="s">
        <v>533</v>
      </c>
      <c r="D123" s="133" t="s">
        <v>12</v>
      </c>
      <c r="E123" s="1"/>
      <c r="F123" s="4"/>
      <c r="G123" s="1"/>
      <c r="H123" s="125"/>
      <c r="I123" s="125"/>
      <c r="J123" s="125">
        <v>-295.61</v>
      </c>
      <c r="K123" s="43">
        <f>H123+J123</f>
        <v>-295.61</v>
      </c>
      <c r="L123" s="43">
        <f t="shared" si="4"/>
        <v>28129.39</v>
      </c>
      <c r="M123" s="16" t="s">
        <v>90</v>
      </c>
    </row>
    <row r="124" spans="1:23" x14ac:dyDescent="0.3">
      <c r="B124" s="105" t="s">
        <v>484</v>
      </c>
      <c r="C124" s="4" t="s">
        <v>58</v>
      </c>
      <c r="D124" s="133" t="s">
        <v>9</v>
      </c>
      <c r="E124" s="120" t="s">
        <v>747</v>
      </c>
      <c r="F124" s="27"/>
      <c r="G124" s="33"/>
      <c r="H124" s="42"/>
      <c r="I124" s="42"/>
      <c r="J124" s="42">
        <v>-121.99</v>
      </c>
      <c r="K124" s="43">
        <f t="shared" si="3"/>
        <v>-121.99</v>
      </c>
      <c r="L124" s="43">
        <f t="shared" si="4"/>
        <v>28007.399999999998</v>
      </c>
      <c r="M124" s="16" t="s">
        <v>90</v>
      </c>
    </row>
    <row r="125" spans="1:23" x14ac:dyDescent="0.3">
      <c r="B125" s="105" t="s">
        <v>484</v>
      </c>
      <c r="C125" s="4" t="s">
        <v>145</v>
      </c>
      <c r="D125" s="112" t="s">
        <v>504</v>
      </c>
      <c r="E125" s="120" t="s">
        <v>1013</v>
      </c>
      <c r="F125" s="27"/>
      <c r="G125" s="33"/>
      <c r="H125" s="42"/>
      <c r="I125" s="42"/>
      <c r="J125" s="49">
        <v>-50</v>
      </c>
      <c r="K125" s="43">
        <f t="shared" si="3"/>
        <v>-50</v>
      </c>
      <c r="L125" s="43">
        <f t="shared" si="4"/>
        <v>27957.399999999998</v>
      </c>
      <c r="M125" s="18" t="s">
        <v>572</v>
      </c>
      <c r="N125" t="s">
        <v>1016</v>
      </c>
    </row>
    <row r="126" spans="1:23" x14ac:dyDescent="0.3">
      <c r="A126" s="12"/>
      <c r="B126" s="105" t="s">
        <v>484</v>
      </c>
      <c r="C126" s="4" t="s">
        <v>122</v>
      </c>
      <c r="D126" s="112" t="s">
        <v>504</v>
      </c>
      <c r="E126" s="120" t="s">
        <v>1013</v>
      </c>
      <c r="F126" s="27"/>
      <c r="G126" s="33"/>
      <c r="H126" s="42"/>
      <c r="I126" s="42"/>
      <c r="J126" s="49">
        <v>-30</v>
      </c>
      <c r="K126" s="43">
        <f t="shared" si="3"/>
        <v>-30</v>
      </c>
      <c r="L126" s="43">
        <f t="shared" si="4"/>
        <v>27927.399999999998</v>
      </c>
      <c r="M126" s="18" t="s">
        <v>572</v>
      </c>
      <c r="N126" t="s">
        <v>1018</v>
      </c>
    </row>
    <row r="127" spans="1:23" x14ac:dyDescent="0.3">
      <c r="A127" s="12"/>
      <c r="B127" s="105" t="s">
        <v>484</v>
      </c>
      <c r="C127" s="4"/>
      <c r="D127" s="112"/>
      <c r="E127" s="120"/>
      <c r="F127" s="27"/>
      <c r="G127" s="120"/>
      <c r="H127" s="42"/>
      <c r="I127" s="42"/>
      <c r="J127" s="42"/>
      <c r="K127" s="43">
        <f t="shared" si="3"/>
        <v>0</v>
      </c>
      <c r="L127" s="43">
        <f t="shared" si="4"/>
        <v>27927.399999999998</v>
      </c>
      <c r="M127" s="18" t="s">
        <v>572</v>
      </c>
      <c r="N127" t="s">
        <v>1015</v>
      </c>
    </row>
    <row r="128" spans="1:23" x14ac:dyDescent="0.3">
      <c r="B128" s="105" t="s">
        <v>484</v>
      </c>
      <c r="C128" s="4" t="s">
        <v>841</v>
      </c>
      <c r="D128" s="112" t="s">
        <v>504</v>
      </c>
      <c r="E128" s="120" t="s">
        <v>1013</v>
      </c>
      <c r="F128" s="27"/>
      <c r="G128" s="120"/>
      <c r="H128" s="42"/>
      <c r="I128" s="42"/>
      <c r="J128" s="49">
        <v>-50</v>
      </c>
      <c r="K128" s="43">
        <f t="shared" si="3"/>
        <v>-50</v>
      </c>
      <c r="L128" s="43">
        <f t="shared" si="4"/>
        <v>27877.399999999998</v>
      </c>
      <c r="M128" s="18" t="s">
        <v>572</v>
      </c>
    </row>
    <row r="129" spans="1:23" x14ac:dyDescent="0.3">
      <c r="A129" s="12"/>
      <c r="B129" s="105" t="s">
        <v>484</v>
      </c>
      <c r="C129" s="4" t="s">
        <v>145</v>
      </c>
      <c r="D129" s="132" t="s">
        <v>512</v>
      </c>
      <c r="E129" s="120" t="s">
        <v>1013</v>
      </c>
      <c r="F129" s="27"/>
      <c r="G129" s="33"/>
      <c r="H129" s="49">
        <v>50</v>
      </c>
      <c r="I129" s="42"/>
      <c r="J129" s="42"/>
      <c r="K129" s="43">
        <f t="shared" si="3"/>
        <v>50</v>
      </c>
      <c r="L129" s="43">
        <f t="shared" si="4"/>
        <v>27927.399999999998</v>
      </c>
      <c r="M129" s="18" t="s">
        <v>572</v>
      </c>
    </row>
    <row r="130" spans="1:23" x14ac:dyDescent="0.3">
      <c r="A130" s="12"/>
      <c r="B130" s="105" t="s">
        <v>484</v>
      </c>
      <c r="C130" s="4" t="s">
        <v>122</v>
      </c>
      <c r="D130" s="132" t="s">
        <v>512</v>
      </c>
      <c r="E130" s="120" t="s">
        <v>1013</v>
      </c>
      <c r="F130" s="27"/>
      <c r="G130" s="33"/>
      <c r="H130" s="49">
        <v>30</v>
      </c>
      <c r="I130" s="42"/>
      <c r="J130" s="42"/>
      <c r="K130" s="43">
        <f t="shared" si="3"/>
        <v>30</v>
      </c>
      <c r="L130" s="43">
        <f t="shared" si="4"/>
        <v>27957.399999999998</v>
      </c>
      <c r="M130" s="18" t="s">
        <v>572</v>
      </c>
    </row>
    <row r="131" spans="1:23" x14ac:dyDescent="0.3">
      <c r="A131" s="12"/>
      <c r="B131" s="105" t="s">
        <v>484</v>
      </c>
      <c r="C131" s="4"/>
      <c r="D131" s="132"/>
      <c r="E131" s="120"/>
      <c r="F131" s="27"/>
      <c r="G131" s="33"/>
      <c r="H131" s="42"/>
      <c r="I131" s="42"/>
      <c r="J131" s="42"/>
      <c r="K131" s="43">
        <f t="shared" si="3"/>
        <v>0</v>
      </c>
      <c r="L131" s="43">
        <f t="shared" si="4"/>
        <v>27957.399999999998</v>
      </c>
    </row>
    <row r="132" spans="1:23" x14ac:dyDescent="0.3">
      <c r="A132" s="12"/>
      <c r="B132" s="105" t="s">
        <v>484</v>
      </c>
      <c r="C132" s="4" t="s">
        <v>841</v>
      </c>
      <c r="D132" s="132" t="s">
        <v>512</v>
      </c>
      <c r="E132" s="120" t="s">
        <v>1013</v>
      </c>
      <c r="F132" s="27"/>
      <c r="G132" s="33"/>
      <c r="H132" s="49">
        <v>50</v>
      </c>
      <c r="I132" s="42"/>
      <c r="J132" s="42"/>
      <c r="K132" s="43">
        <f t="shared" si="3"/>
        <v>50</v>
      </c>
      <c r="L132" s="43">
        <f t="shared" si="4"/>
        <v>28007.399999999998</v>
      </c>
      <c r="M132" s="18" t="s">
        <v>572</v>
      </c>
    </row>
    <row r="133" spans="1:23" x14ac:dyDescent="0.3">
      <c r="A133" s="12"/>
      <c r="B133" s="105" t="s">
        <v>484</v>
      </c>
      <c r="C133" s="4" t="s">
        <v>193</v>
      </c>
      <c r="D133" s="133" t="s">
        <v>514</v>
      </c>
      <c r="E133" s="120"/>
      <c r="F133" s="27"/>
      <c r="G133" s="33"/>
      <c r="H133" s="42">
        <v>80</v>
      </c>
      <c r="I133" s="42"/>
      <c r="J133" s="42"/>
      <c r="K133" s="43">
        <f t="shared" si="3"/>
        <v>80</v>
      </c>
      <c r="L133" s="43">
        <f t="shared" si="4"/>
        <v>28087.399999999998</v>
      </c>
      <c r="M133" s="18" t="s">
        <v>90</v>
      </c>
      <c r="N133" s="18"/>
    </row>
    <row r="134" spans="1:23" x14ac:dyDescent="0.3">
      <c r="A134" s="12"/>
      <c r="B134" s="105" t="s">
        <v>484</v>
      </c>
      <c r="C134" s="4" t="s">
        <v>58</v>
      </c>
      <c r="D134" s="112" t="s">
        <v>8</v>
      </c>
      <c r="E134" s="120" t="s">
        <v>1009</v>
      </c>
      <c r="F134" s="52"/>
      <c r="G134" s="33"/>
      <c r="H134" s="42"/>
      <c r="I134" s="42"/>
      <c r="J134" s="42">
        <v>-387.26</v>
      </c>
      <c r="K134" s="43">
        <f t="shared" si="3"/>
        <v>-387.26</v>
      </c>
      <c r="L134" s="43">
        <f t="shared" si="4"/>
        <v>27700.14</v>
      </c>
      <c r="M134" s="16" t="s">
        <v>90</v>
      </c>
    </row>
    <row r="135" spans="1:23" x14ac:dyDescent="0.3">
      <c r="A135" s="12"/>
      <c r="B135" s="105" t="s">
        <v>484</v>
      </c>
      <c r="C135" s="4" t="s">
        <v>1008</v>
      </c>
      <c r="D135" s="132" t="s">
        <v>512</v>
      </c>
      <c r="E135" s="120" t="s">
        <v>1017</v>
      </c>
      <c r="F135" s="27"/>
      <c r="G135" s="120">
        <v>500765</v>
      </c>
      <c r="H135" s="42"/>
      <c r="I135" s="42"/>
      <c r="J135" s="42">
        <v>-6</v>
      </c>
      <c r="K135" s="43">
        <f t="shared" si="3"/>
        <v>-6</v>
      </c>
      <c r="L135" s="43">
        <f t="shared" si="4"/>
        <v>27694.14</v>
      </c>
      <c r="M135" s="18" t="s">
        <v>90</v>
      </c>
    </row>
    <row r="136" spans="1:23" x14ac:dyDescent="0.3">
      <c r="A136" s="12"/>
      <c r="B136" s="105" t="s">
        <v>484</v>
      </c>
      <c r="C136" s="4" t="s">
        <v>604</v>
      </c>
      <c r="D136" s="132" t="s">
        <v>512</v>
      </c>
      <c r="E136" s="120"/>
      <c r="F136" s="27"/>
      <c r="G136" s="33"/>
      <c r="H136" s="42">
        <v>51</v>
      </c>
      <c r="I136" s="42"/>
      <c r="J136" s="42"/>
      <c r="K136" s="43">
        <f t="shared" si="3"/>
        <v>51</v>
      </c>
      <c r="L136" s="43">
        <f t="shared" si="4"/>
        <v>27745.14</v>
      </c>
      <c r="M136" s="18" t="s">
        <v>90</v>
      </c>
      <c r="R136" s="30" t="s">
        <v>1038</v>
      </c>
    </row>
    <row r="137" spans="1:23" x14ac:dyDescent="0.3">
      <c r="A137" s="12"/>
      <c r="B137" s="105" t="s">
        <v>484</v>
      </c>
      <c r="C137" s="4" t="s">
        <v>1019</v>
      </c>
      <c r="D137" s="132" t="s">
        <v>512</v>
      </c>
      <c r="E137" s="120"/>
      <c r="F137" s="27"/>
      <c r="G137" s="33"/>
      <c r="H137" s="42">
        <v>12</v>
      </c>
      <c r="I137" s="42"/>
      <c r="J137" s="42"/>
      <c r="K137" s="43">
        <f t="shared" si="3"/>
        <v>12</v>
      </c>
      <c r="L137" s="43">
        <f t="shared" si="4"/>
        <v>27757.14</v>
      </c>
      <c r="M137" s="18" t="s">
        <v>90</v>
      </c>
    </row>
    <row r="138" spans="1:23" x14ac:dyDescent="0.3">
      <c r="A138" s="12"/>
      <c r="B138" s="105" t="s">
        <v>484</v>
      </c>
      <c r="C138" s="4" t="s">
        <v>159</v>
      </c>
      <c r="D138" s="132" t="s">
        <v>512</v>
      </c>
      <c r="E138" s="33"/>
      <c r="F138" s="27"/>
      <c r="G138" s="33"/>
      <c r="H138" s="42">
        <v>59.5</v>
      </c>
      <c r="I138" s="42"/>
      <c r="J138" s="42"/>
      <c r="K138" s="43">
        <f t="shared" si="3"/>
        <v>59.5</v>
      </c>
      <c r="L138" s="43">
        <f t="shared" si="4"/>
        <v>27816.639999999999</v>
      </c>
      <c r="M138" s="18" t="s">
        <v>412</v>
      </c>
      <c r="R138" t="s">
        <v>584</v>
      </c>
      <c r="V138" s="15">
        <v>27333.27</v>
      </c>
    </row>
    <row r="139" spans="1:23" x14ac:dyDescent="0.3">
      <c r="A139" s="12"/>
      <c r="B139" s="105" t="s">
        <v>484</v>
      </c>
      <c r="C139" s="4" t="s">
        <v>268</v>
      </c>
      <c r="D139" s="132" t="s">
        <v>512</v>
      </c>
      <c r="E139" s="33"/>
      <c r="F139" s="27"/>
      <c r="G139" s="33"/>
      <c r="H139" s="42">
        <v>96</v>
      </c>
      <c r="I139" s="42"/>
      <c r="J139" s="42"/>
      <c r="K139" s="43">
        <f t="shared" si="3"/>
        <v>96</v>
      </c>
      <c r="L139" s="43">
        <f t="shared" si="4"/>
        <v>27912.639999999999</v>
      </c>
      <c r="M139" s="18" t="s">
        <v>412</v>
      </c>
    </row>
    <row r="140" spans="1:23" x14ac:dyDescent="0.3">
      <c r="A140" s="12"/>
      <c r="B140" s="105" t="s">
        <v>484</v>
      </c>
      <c r="C140" s="4" t="s">
        <v>1020</v>
      </c>
      <c r="D140" s="112" t="s">
        <v>500</v>
      </c>
      <c r="E140" s="121" t="s">
        <v>636</v>
      </c>
      <c r="F140" s="27"/>
      <c r="G140" s="210"/>
      <c r="H140" s="49">
        <v>50</v>
      </c>
      <c r="I140" s="42"/>
      <c r="J140" s="42"/>
      <c r="K140" s="43">
        <f t="shared" si="3"/>
        <v>50</v>
      </c>
      <c r="L140" s="43">
        <f t="shared" si="4"/>
        <v>27962.639999999999</v>
      </c>
      <c r="M140" s="18" t="s">
        <v>412</v>
      </c>
      <c r="R140" t="s">
        <v>650</v>
      </c>
      <c r="U140" s="43"/>
    </row>
    <row r="141" spans="1:23" x14ac:dyDescent="0.3">
      <c r="A141" s="12"/>
      <c r="B141" s="105" t="s">
        <v>484</v>
      </c>
      <c r="C141" s="4" t="s">
        <v>1020</v>
      </c>
      <c r="D141" s="132" t="s">
        <v>512</v>
      </c>
      <c r="E141" s="120"/>
      <c r="F141" s="27"/>
      <c r="G141" s="33"/>
      <c r="H141" s="42">
        <v>68</v>
      </c>
      <c r="I141" s="42"/>
      <c r="J141" s="42"/>
      <c r="K141" s="43">
        <f t="shared" si="3"/>
        <v>68</v>
      </c>
      <c r="L141" s="43">
        <f t="shared" si="4"/>
        <v>28030.639999999999</v>
      </c>
      <c r="M141" s="18" t="s">
        <v>412</v>
      </c>
      <c r="R141"/>
      <c r="U141" s="43"/>
    </row>
    <row r="142" spans="1:23" x14ac:dyDescent="0.3">
      <c r="A142" s="12"/>
      <c r="B142" s="105" t="s">
        <v>484</v>
      </c>
      <c r="C142" s="4" t="s">
        <v>392</v>
      </c>
      <c r="D142" s="133" t="s">
        <v>518</v>
      </c>
      <c r="E142" s="120" t="s">
        <v>1022</v>
      </c>
      <c r="F142" s="27"/>
      <c r="G142" s="33"/>
      <c r="H142" s="42"/>
      <c r="I142" s="42"/>
      <c r="J142" s="42">
        <v>-96</v>
      </c>
      <c r="K142" s="43">
        <f t="shared" si="3"/>
        <v>-96</v>
      </c>
      <c r="L142" s="43">
        <f t="shared" si="4"/>
        <v>27934.639999999999</v>
      </c>
      <c r="M142" s="18" t="s">
        <v>90</v>
      </c>
      <c r="R142"/>
      <c r="U142" s="43"/>
      <c r="V142" s="57"/>
      <c r="W142" t="s">
        <v>90</v>
      </c>
    </row>
    <row r="143" spans="1:23" x14ac:dyDescent="0.3">
      <c r="A143" s="12"/>
      <c r="B143" s="105" t="s">
        <v>484</v>
      </c>
      <c r="C143" s="4" t="s">
        <v>879</v>
      </c>
      <c r="D143" s="133" t="s">
        <v>513</v>
      </c>
      <c r="E143" s="120"/>
      <c r="F143" s="27"/>
      <c r="G143" s="33"/>
      <c r="H143" s="51">
        <v>80</v>
      </c>
      <c r="I143" s="42"/>
      <c r="J143" s="42"/>
      <c r="K143" s="43">
        <f t="shared" ref="K143:K150" si="5">H143+J143</f>
        <v>80</v>
      </c>
      <c r="L143" s="43">
        <f t="shared" si="4"/>
        <v>28014.639999999999</v>
      </c>
      <c r="M143" s="18" t="s">
        <v>412</v>
      </c>
      <c r="R143"/>
      <c r="U143" s="43"/>
      <c r="V143" s="57">
        <f>SUM(U141:U143)</f>
        <v>0</v>
      </c>
      <c r="W143" t="s">
        <v>90</v>
      </c>
    </row>
    <row r="144" spans="1:23" x14ac:dyDescent="0.3">
      <c r="A144" s="12"/>
      <c r="B144" s="105" t="s">
        <v>484</v>
      </c>
      <c r="C144" s="4" t="s">
        <v>1027</v>
      </c>
      <c r="D144" s="132" t="s">
        <v>512</v>
      </c>
      <c r="E144" s="120"/>
      <c r="F144" s="27"/>
      <c r="G144" s="33"/>
      <c r="H144" s="42">
        <v>8</v>
      </c>
      <c r="I144" s="42"/>
      <c r="J144" s="42"/>
      <c r="K144" s="43">
        <f t="shared" si="5"/>
        <v>8</v>
      </c>
      <c r="L144" s="43">
        <f t="shared" si="4"/>
        <v>28022.639999999999</v>
      </c>
      <c r="M144" s="18" t="s">
        <v>412</v>
      </c>
      <c r="U144" s="43"/>
    </row>
    <row r="145" spans="1:24" x14ac:dyDescent="0.3">
      <c r="A145" s="12"/>
      <c r="B145" s="105" t="s">
        <v>484</v>
      </c>
      <c r="C145" s="4" t="s">
        <v>129</v>
      </c>
      <c r="D145" s="133" t="s">
        <v>518</v>
      </c>
      <c r="E145" s="242" t="s">
        <v>1023</v>
      </c>
      <c r="F145" s="27"/>
      <c r="G145" s="33"/>
      <c r="H145" s="241">
        <v>100</v>
      </c>
      <c r="I145" s="42"/>
      <c r="J145" s="42"/>
      <c r="K145" s="43">
        <f t="shared" si="5"/>
        <v>100</v>
      </c>
      <c r="L145" s="43">
        <f t="shared" si="4"/>
        <v>28122.639999999999</v>
      </c>
      <c r="M145" s="18" t="s">
        <v>90</v>
      </c>
      <c r="U145" s="43"/>
    </row>
    <row r="146" spans="1:24" x14ac:dyDescent="0.3">
      <c r="A146" s="12"/>
      <c r="B146" s="105" t="s">
        <v>484</v>
      </c>
      <c r="C146" s="4" t="s">
        <v>1026</v>
      </c>
      <c r="D146" s="112" t="s">
        <v>504</v>
      </c>
      <c r="E146" s="121" t="s">
        <v>1025</v>
      </c>
      <c r="F146" s="27"/>
      <c r="G146" s="33">
        <v>500766</v>
      </c>
      <c r="H146" s="42"/>
      <c r="I146" s="42"/>
      <c r="J146" s="49">
        <v>-50</v>
      </c>
      <c r="K146" s="43">
        <f t="shared" si="5"/>
        <v>-50</v>
      </c>
      <c r="L146" s="43">
        <f t="shared" si="4"/>
        <v>28072.639999999999</v>
      </c>
      <c r="M146" s="18" t="s">
        <v>90</v>
      </c>
      <c r="R146" t="s">
        <v>586</v>
      </c>
      <c r="S146"/>
      <c r="U146" s="43"/>
    </row>
    <row r="147" spans="1:24" x14ac:dyDescent="0.3">
      <c r="A147" s="12"/>
      <c r="B147" s="105" t="s">
        <v>484</v>
      </c>
      <c r="C147" s="4" t="s">
        <v>655</v>
      </c>
      <c r="D147" s="132" t="s">
        <v>512</v>
      </c>
      <c r="E147" s="120" t="s">
        <v>1028</v>
      </c>
      <c r="F147" s="27"/>
      <c r="G147" s="33"/>
      <c r="H147" s="42">
        <v>51</v>
      </c>
      <c r="I147" s="42"/>
      <c r="J147" s="42"/>
      <c r="K147" s="43">
        <f t="shared" si="5"/>
        <v>51</v>
      </c>
      <c r="L147" s="43">
        <f t="shared" si="4"/>
        <v>28123.64</v>
      </c>
      <c r="M147" s="18" t="s">
        <v>412</v>
      </c>
      <c r="R147">
        <v>500763</v>
      </c>
      <c r="S147"/>
      <c r="U147" s="43"/>
      <c r="V147" s="15">
        <v>-50</v>
      </c>
    </row>
    <row r="148" spans="1:24" x14ac:dyDescent="0.3">
      <c r="A148" s="12"/>
      <c r="B148" s="105" t="s">
        <v>484</v>
      </c>
      <c r="C148" s="4" t="s">
        <v>655</v>
      </c>
      <c r="D148" s="112" t="s">
        <v>500</v>
      </c>
      <c r="E148" s="121" t="s">
        <v>249</v>
      </c>
      <c r="F148" s="27"/>
      <c r="G148" s="210"/>
      <c r="H148" s="49">
        <v>50</v>
      </c>
      <c r="I148" s="42"/>
      <c r="J148" s="42"/>
      <c r="K148" s="43">
        <f t="shared" si="5"/>
        <v>50</v>
      </c>
      <c r="L148" s="43">
        <f t="shared" si="4"/>
        <v>28173.64</v>
      </c>
      <c r="M148" s="18" t="s">
        <v>412</v>
      </c>
      <c r="U148" s="43"/>
      <c r="V148" s="57"/>
    </row>
    <row r="149" spans="1:24" x14ac:dyDescent="0.3">
      <c r="A149" s="12"/>
      <c r="B149" s="105" t="s">
        <v>484</v>
      </c>
      <c r="C149" s="4" t="s">
        <v>1049</v>
      </c>
      <c r="D149" s="132" t="s">
        <v>512</v>
      </c>
      <c r="E149" s="120" t="s">
        <v>1029</v>
      </c>
      <c r="F149" s="27"/>
      <c r="G149" s="33"/>
      <c r="H149" s="42">
        <v>100</v>
      </c>
      <c r="I149" s="42"/>
      <c r="J149" s="42"/>
      <c r="K149" s="43">
        <f t="shared" si="5"/>
        <v>100</v>
      </c>
      <c r="L149" s="43">
        <f t="shared" si="4"/>
        <v>28273.64</v>
      </c>
      <c r="M149" s="18" t="s">
        <v>90</v>
      </c>
      <c r="U149"/>
      <c r="W149" t="s">
        <v>90</v>
      </c>
    </row>
    <row r="150" spans="1:24" x14ac:dyDescent="0.3">
      <c r="A150" s="12"/>
      <c r="B150" s="105" t="s">
        <v>484</v>
      </c>
      <c r="C150" s="4" t="s">
        <v>984</v>
      </c>
      <c r="D150" s="112" t="s">
        <v>504</v>
      </c>
      <c r="E150" s="121" t="s">
        <v>1030</v>
      </c>
      <c r="F150" s="27"/>
      <c r="G150" s="33">
        <v>500767</v>
      </c>
      <c r="H150" s="42"/>
      <c r="I150" s="42"/>
      <c r="J150" s="49">
        <v>-50</v>
      </c>
      <c r="K150" s="43">
        <f t="shared" si="5"/>
        <v>-50</v>
      </c>
      <c r="L150" s="43">
        <f t="shared" si="4"/>
        <v>28223.64</v>
      </c>
      <c r="M150" s="18" t="s">
        <v>90</v>
      </c>
      <c r="S150"/>
      <c r="U150" s="43"/>
      <c r="W150" t="s">
        <v>90</v>
      </c>
    </row>
    <row r="151" spans="1:24" x14ac:dyDescent="0.3">
      <c r="A151" s="12"/>
      <c r="B151" s="105" t="s">
        <v>484</v>
      </c>
      <c r="C151" s="4" t="s">
        <v>1031</v>
      </c>
      <c r="D151" s="133" t="s">
        <v>518</v>
      </c>
      <c r="E151" s="242" t="s">
        <v>1032</v>
      </c>
      <c r="F151" s="27"/>
      <c r="G151" s="33"/>
      <c r="H151" s="42"/>
      <c r="I151" s="42"/>
      <c r="J151" s="241">
        <v>-525</v>
      </c>
      <c r="K151" s="43">
        <f t="shared" ref="K151:K157" si="6">H151+J151</f>
        <v>-525</v>
      </c>
      <c r="L151" s="43">
        <f t="shared" si="4"/>
        <v>27698.639999999999</v>
      </c>
      <c r="M151" s="18" t="s">
        <v>90</v>
      </c>
      <c r="S151"/>
      <c r="U151" s="43"/>
      <c r="W151" t="s">
        <v>90</v>
      </c>
    </row>
    <row r="152" spans="1:24" x14ac:dyDescent="0.3">
      <c r="A152" s="12"/>
      <c r="B152" s="105" t="s">
        <v>484</v>
      </c>
      <c r="C152" s="4" t="s">
        <v>1033</v>
      </c>
      <c r="D152" s="133" t="s">
        <v>12</v>
      </c>
      <c r="E152" s="120" t="s">
        <v>1034</v>
      </c>
      <c r="F152" s="27"/>
      <c r="G152" s="33"/>
      <c r="H152" s="42"/>
      <c r="I152" s="42"/>
      <c r="J152" s="42">
        <v>-205</v>
      </c>
      <c r="K152" s="43">
        <f t="shared" si="6"/>
        <v>-205</v>
      </c>
      <c r="L152" s="43">
        <f t="shared" si="4"/>
        <v>27493.64</v>
      </c>
      <c r="M152" s="18" t="s">
        <v>90</v>
      </c>
    </row>
    <row r="153" spans="1:24" x14ac:dyDescent="0.3">
      <c r="A153" s="12"/>
      <c r="B153" s="105" t="s">
        <v>484</v>
      </c>
      <c r="C153" s="4" t="s">
        <v>234</v>
      </c>
      <c r="D153" s="133" t="s">
        <v>12</v>
      </c>
      <c r="E153" s="120" t="s">
        <v>313</v>
      </c>
      <c r="F153" s="27"/>
      <c r="G153" s="33"/>
      <c r="H153" s="42"/>
      <c r="I153" s="42"/>
      <c r="J153" s="42">
        <v>-161.15</v>
      </c>
      <c r="K153" s="43">
        <f t="shared" si="6"/>
        <v>-161.15</v>
      </c>
      <c r="L153" s="43">
        <f t="shared" si="4"/>
        <v>27332.489999999998</v>
      </c>
      <c r="M153" s="18" t="s">
        <v>412</v>
      </c>
      <c r="N153" t="s">
        <v>1037</v>
      </c>
      <c r="V153" s="57">
        <f>SUM(U147:U152)</f>
        <v>0</v>
      </c>
    </row>
    <row r="154" spans="1:24" x14ac:dyDescent="0.3">
      <c r="A154" s="12"/>
      <c r="B154" s="105" t="s">
        <v>484</v>
      </c>
      <c r="C154" s="4" t="s">
        <v>234</v>
      </c>
      <c r="D154" s="133" t="s">
        <v>518</v>
      </c>
      <c r="E154" s="120" t="s">
        <v>1035</v>
      </c>
      <c r="F154" s="27"/>
      <c r="G154" s="33"/>
      <c r="H154" s="42"/>
      <c r="I154" s="42"/>
      <c r="J154" s="42">
        <v>-49.22</v>
      </c>
      <c r="K154" s="43">
        <f t="shared" si="6"/>
        <v>-49.22</v>
      </c>
      <c r="L154" s="43">
        <f t="shared" si="4"/>
        <v>27283.269999999997</v>
      </c>
      <c r="M154" s="18" t="s">
        <v>412</v>
      </c>
    </row>
    <row r="155" spans="1:24" x14ac:dyDescent="0.3">
      <c r="A155" s="12"/>
      <c r="B155" s="105" t="s">
        <v>484</v>
      </c>
      <c r="C155" s="4" t="s">
        <v>232</v>
      </c>
      <c r="D155" s="133" t="s">
        <v>623</v>
      </c>
      <c r="E155" s="120"/>
      <c r="F155" s="27"/>
      <c r="G155" s="33"/>
      <c r="H155" s="42"/>
      <c r="I155" s="42"/>
      <c r="J155" s="42">
        <v>-50</v>
      </c>
      <c r="K155" s="43">
        <f t="shared" si="6"/>
        <v>-50</v>
      </c>
      <c r="L155" s="43">
        <f t="shared" si="4"/>
        <v>27233.269999999997</v>
      </c>
      <c r="M155" s="18" t="s">
        <v>90</v>
      </c>
    </row>
    <row r="156" spans="1:24" x14ac:dyDescent="0.3">
      <c r="A156" s="12"/>
      <c r="B156" s="105" t="s">
        <v>484</v>
      </c>
      <c r="C156" s="4" t="s">
        <v>1043</v>
      </c>
      <c r="D156" s="132" t="s">
        <v>512</v>
      </c>
      <c r="E156" s="120"/>
      <c r="F156" s="27"/>
      <c r="G156" s="33"/>
      <c r="H156" s="42">
        <v>50</v>
      </c>
      <c r="I156" s="42"/>
      <c r="J156" s="42"/>
      <c r="K156" s="43">
        <f t="shared" si="6"/>
        <v>50</v>
      </c>
      <c r="L156" s="75">
        <f t="shared" si="4"/>
        <v>27283.269999999997</v>
      </c>
      <c r="M156" s="18" t="s">
        <v>90</v>
      </c>
      <c r="R156" t="s">
        <v>652</v>
      </c>
      <c r="V156" s="23">
        <f>SUM(V138:V153)</f>
        <v>27283.27</v>
      </c>
      <c r="X156" t="s">
        <v>588</v>
      </c>
    </row>
    <row r="157" spans="1:24" x14ac:dyDescent="0.3">
      <c r="A157" s="12"/>
      <c r="B157" s="105"/>
      <c r="D157" s="15"/>
      <c r="E157" s="33"/>
      <c r="F157" s="52"/>
      <c r="G157" s="33"/>
      <c r="H157" s="42"/>
      <c r="I157" s="42"/>
      <c r="J157" s="42"/>
      <c r="K157" s="43">
        <f t="shared" si="6"/>
        <v>0</v>
      </c>
      <c r="L157" s="43">
        <f t="shared" si="4"/>
        <v>27283.269999999997</v>
      </c>
      <c r="R157"/>
      <c r="X157"/>
    </row>
    <row r="158" spans="1:24" x14ac:dyDescent="0.3">
      <c r="A158" s="28" t="s">
        <v>80</v>
      </c>
      <c r="B158" s="105" t="s">
        <v>485</v>
      </c>
      <c r="C158" s="4" t="s">
        <v>58</v>
      </c>
      <c r="D158" s="112" t="s">
        <v>8</v>
      </c>
      <c r="E158" s="120" t="s">
        <v>1040</v>
      </c>
      <c r="F158" s="27"/>
      <c r="G158" s="33"/>
      <c r="H158" s="42"/>
      <c r="I158" s="42"/>
      <c r="J158" s="221">
        <v>-767.62</v>
      </c>
      <c r="K158" s="43">
        <f t="shared" si="3"/>
        <v>-767.62</v>
      </c>
      <c r="L158" s="43">
        <f t="shared" si="4"/>
        <v>26515.649999999998</v>
      </c>
      <c r="M158" s="18" t="s">
        <v>90</v>
      </c>
      <c r="R158"/>
      <c r="X158"/>
    </row>
    <row r="159" spans="1:24" x14ac:dyDescent="0.3">
      <c r="A159" s="12"/>
      <c r="B159" s="105" t="s">
        <v>485</v>
      </c>
      <c r="C159" s="4" t="s">
        <v>299</v>
      </c>
      <c r="D159" s="133" t="s">
        <v>301</v>
      </c>
      <c r="E159" s="1"/>
      <c r="F159" s="4"/>
      <c r="G159" s="1"/>
      <c r="H159" s="125"/>
      <c r="I159" s="125"/>
      <c r="J159" s="222">
        <v>-35.880000000000003</v>
      </c>
      <c r="K159" s="43">
        <f t="shared" si="3"/>
        <v>-35.880000000000003</v>
      </c>
      <c r="L159" s="43">
        <f t="shared" si="4"/>
        <v>26479.769999999997</v>
      </c>
      <c r="M159" s="18" t="s">
        <v>90</v>
      </c>
    </row>
    <row r="160" spans="1:24" x14ac:dyDescent="0.3">
      <c r="A160" s="12"/>
      <c r="B160" s="105" t="s">
        <v>485</v>
      </c>
      <c r="C160" s="4" t="s">
        <v>607</v>
      </c>
      <c r="D160" s="133" t="s">
        <v>11</v>
      </c>
      <c r="E160" s="1"/>
      <c r="F160" s="4"/>
      <c r="G160" s="1"/>
      <c r="H160" s="125"/>
      <c r="I160" s="125"/>
      <c r="J160" s="222">
        <v>-122.98</v>
      </c>
      <c r="K160" s="43">
        <f t="shared" si="3"/>
        <v>-122.98</v>
      </c>
      <c r="L160" s="43">
        <f t="shared" si="4"/>
        <v>26356.789999999997</v>
      </c>
      <c r="M160" s="18" t="s">
        <v>90</v>
      </c>
    </row>
    <row r="161" spans="1:24" x14ac:dyDescent="0.3">
      <c r="A161" s="12"/>
      <c r="B161" s="105" t="s">
        <v>485</v>
      </c>
      <c r="C161" s="4" t="s">
        <v>48</v>
      </c>
      <c r="D161" s="133" t="s">
        <v>12</v>
      </c>
      <c r="E161" s="1"/>
      <c r="F161" s="4"/>
      <c r="G161" s="1"/>
      <c r="H161" s="125"/>
      <c r="I161" s="125"/>
      <c r="J161" s="222">
        <v>-71.599999999999994</v>
      </c>
      <c r="K161" s="43">
        <f t="shared" si="3"/>
        <v>-71.599999999999994</v>
      </c>
      <c r="L161" s="43">
        <f t="shared" si="4"/>
        <v>26285.19</v>
      </c>
      <c r="M161" s="18" t="s">
        <v>90</v>
      </c>
    </row>
    <row r="162" spans="1:24" x14ac:dyDescent="0.3">
      <c r="A162" s="12"/>
      <c r="B162" s="105" t="s">
        <v>485</v>
      </c>
      <c r="C162" s="4" t="s">
        <v>1041</v>
      </c>
      <c r="D162" s="112" t="s">
        <v>504</v>
      </c>
      <c r="E162" s="121" t="s">
        <v>1042</v>
      </c>
      <c r="F162" s="169"/>
      <c r="G162" s="33">
        <v>500768</v>
      </c>
      <c r="H162" s="42"/>
      <c r="I162" s="42"/>
      <c r="J162" s="223">
        <v>-50</v>
      </c>
      <c r="K162" s="43">
        <f t="shared" si="3"/>
        <v>-50</v>
      </c>
      <c r="L162" s="43">
        <f t="shared" si="4"/>
        <v>26235.19</v>
      </c>
      <c r="M162" s="16" t="s">
        <v>90</v>
      </c>
    </row>
    <row r="163" spans="1:24" x14ac:dyDescent="0.3">
      <c r="B163" s="105" t="s">
        <v>485</v>
      </c>
      <c r="C163" s="4" t="s">
        <v>1045</v>
      </c>
      <c r="D163" s="112" t="s">
        <v>500</v>
      </c>
      <c r="E163" s="121" t="s">
        <v>250</v>
      </c>
      <c r="F163" s="27"/>
      <c r="G163" s="210"/>
      <c r="H163" s="49">
        <v>50</v>
      </c>
      <c r="I163" s="42"/>
      <c r="J163" s="221"/>
      <c r="K163" s="43">
        <f t="shared" si="3"/>
        <v>50</v>
      </c>
      <c r="L163" s="43">
        <f t="shared" si="4"/>
        <v>26285.19</v>
      </c>
      <c r="M163" s="16" t="s">
        <v>412</v>
      </c>
    </row>
    <row r="164" spans="1:24" x14ac:dyDescent="0.3">
      <c r="A164" s="12"/>
      <c r="B164" s="105" t="s">
        <v>485</v>
      </c>
      <c r="C164" s="4" t="s">
        <v>1045</v>
      </c>
      <c r="D164" s="132" t="s">
        <v>512</v>
      </c>
      <c r="E164" s="120" t="s">
        <v>1046</v>
      </c>
      <c r="F164" s="27"/>
      <c r="G164" s="33"/>
      <c r="H164" s="42">
        <v>85</v>
      </c>
      <c r="I164" s="42"/>
      <c r="J164" s="221"/>
      <c r="K164" s="43">
        <f t="shared" si="3"/>
        <v>85</v>
      </c>
      <c r="L164" s="43">
        <f t="shared" si="4"/>
        <v>26370.19</v>
      </c>
      <c r="M164" s="16" t="s">
        <v>412</v>
      </c>
    </row>
    <row r="165" spans="1:24" x14ac:dyDescent="0.3">
      <c r="A165" s="12"/>
      <c r="B165" s="105" t="s">
        <v>485</v>
      </c>
      <c r="C165" s="4" t="s">
        <v>1047</v>
      </c>
      <c r="D165" s="132" t="s">
        <v>512</v>
      </c>
      <c r="E165" s="33"/>
      <c r="F165" s="27"/>
      <c r="G165" s="33"/>
      <c r="H165" s="42">
        <v>8</v>
      </c>
      <c r="I165" s="42"/>
      <c r="J165" s="221"/>
      <c r="K165" s="43">
        <f t="shared" si="3"/>
        <v>8</v>
      </c>
      <c r="L165" s="43">
        <f t="shared" si="4"/>
        <v>26378.19</v>
      </c>
      <c r="M165" s="16" t="s">
        <v>534</v>
      </c>
    </row>
    <row r="166" spans="1:24" x14ac:dyDescent="0.3">
      <c r="A166" s="12"/>
      <c r="B166" s="105" t="s">
        <v>485</v>
      </c>
      <c r="C166" s="4" t="s">
        <v>604</v>
      </c>
      <c r="D166" s="132" t="s">
        <v>512</v>
      </c>
      <c r="E166" s="33"/>
      <c r="F166" s="27"/>
      <c r="G166" s="33"/>
      <c r="H166" s="42">
        <v>51</v>
      </c>
      <c r="I166" s="42"/>
      <c r="J166" s="221"/>
      <c r="K166" s="43">
        <f t="shared" si="3"/>
        <v>51</v>
      </c>
      <c r="L166" s="43">
        <f t="shared" si="4"/>
        <v>26429.19</v>
      </c>
      <c r="M166" s="16" t="s">
        <v>534</v>
      </c>
    </row>
    <row r="167" spans="1:24" x14ac:dyDescent="0.3">
      <c r="A167" s="12"/>
      <c r="B167" s="105" t="s">
        <v>485</v>
      </c>
      <c r="C167" s="4" t="s">
        <v>1044</v>
      </c>
      <c r="D167" s="132" t="s">
        <v>512</v>
      </c>
      <c r="E167" s="120" t="s">
        <v>1048</v>
      </c>
      <c r="F167" s="27"/>
      <c r="G167" s="33"/>
      <c r="H167" s="42">
        <v>24</v>
      </c>
      <c r="I167" s="42"/>
      <c r="J167" s="221"/>
      <c r="K167" s="43">
        <f t="shared" si="3"/>
        <v>24</v>
      </c>
      <c r="L167" s="43">
        <f t="shared" si="4"/>
        <v>26453.19</v>
      </c>
      <c r="M167" s="16" t="s">
        <v>534</v>
      </c>
    </row>
    <row r="168" spans="1:24" x14ac:dyDescent="0.3">
      <c r="A168" s="12"/>
      <c r="B168" s="105" t="s">
        <v>485</v>
      </c>
      <c r="C168" s="4" t="s">
        <v>58</v>
      </c>
      <c r="D168" s="133" t="s">
        <v>9</v>
      </c>
      <c r="E168" s="120" t="s">
        <v>746</v>
      </c>
      <c r="F168" s="27"/>
      <c r="G168" s="33"/>
      <c r="H168" s="42"/>
      <c r="I168" s="42"/>
      <c r="J168" s="221">
        <v>-127.68</v>
      </c>
      <c r="K168" s="43">
        <f t="shared" si="3"/>
        <v>-127.68</v>
      </c>
      <c r="L168" s="43">
        <f t="shared" si="4"/>
        <v>26325.51</v>
      </c>
      <c r="M168" s="18" t="s">
        <v>90</v>
      </c>
    </row>
    <row r="169" spans="1:24" x14ac:dyDescent="0.3">
      <c r="A169" s="12"/>
      <c r="B169" s="105" t="s">
        <v>485</v>
      </c>
      <c r="C169" s="4" t="s">
        <v>465</v>
      </c>
      <c r="D169" s="133" t="s">
        <v>12</v>
      </c>
      <c r="E169" s="128" t="s">
        <v>1050</v>
      </c>
      <c r="F169" s="27"/>
      <c r="G169" s="33"/>
      <c r="H169" s="42"/>
      <c r="I169" s="42"/>
      <c r="J169" s="221">
        <v>-160</v>
      </c>
      <c r="K169" s="43">
        <f t="shared" si="3"/>
        <v>-160</v>
      </c>
      <c r="L169" s="43">
        <f t="shared" si="4"/>
        <v>26165.51</v>
      </c>
      <c r="M169" s="18" t="s">
        <v>412</v>
      </c>
      <c r="N169" s="25" t="s">
        <v>1052</v>
      </c>
      <c r="O169" s="134"/>
      <c r="R169" s="30" t="s">
        <v>1130</v>
      </c>
    </row>
    <row r="170" spans="1:24" x14ac:dyDescent="0.3">
      <c r="A170" s="26"/>
      <c r="B170" s="105" t="s">
        <v>485</v>
      </c>
      <c r="C170" s="4" t="s">
        <v>465</v>
      </c>
      <c r="D170" s="133" t="s">
        <v>12</v>
      </c>
      <c r="E170" s="214" t="s">
        <v>1051</v>
      </c>
      <c r="F170" s="215"/>
      <c r="G170" s="215"/>
      <c r="H170" s="216"/>
      <c r="I170" s="215"/>
      <c r="J170" s="224">
        <v>-55.97</v>
      </c>
      <c r="K170" s="43">
        <f t="shared" si="3"/>
        <v>-55.97</v>
      </c>
      <c r="L170" s="43">
        <f t="shared" si="4"/>
        <v>26109.539999999997</v>
      </c>
      <c r="M170" s="18" t="s">
        <v>412</v>
      </c>
      <c r="N170" s="25" t="s">
        <v>399</v>
      </c>
      <c r="O170" s="134"/>
    </row>
    <row r="171" spans="1:24" x14ac:dyDescent="0.3">
      <c r="A171" s="12"/>
      <c r="B171" s="105" t="s">
        <v>485</v>
      </c>
      <c r="C171" s="213" t="s">
        <v>1053</v>
      </c>
      <c r="D171" s="132" t="s">
        <v>500</v>
      </c>
      <c r="E171" s="121" t="s">
        <v>257</v>
      </c>
      <c r="F171" s="215"/>
      <c r="G171" s="210"/>
      <c r="H171" s="218">
        <v>50</v>
      </c>
      <c r="I171" s="215"/>
      <c r="J171" s="215"/>
      <c r="K171" s="43">
        <f t="shared" si="3"/>
        <v>50</v>
      </c>
      <c r="L171" s="43">
        <f t="shared" si="4"/>
        <v>26159.539999999997</v>
      </c>
      <c r="M171" s="16" t="s">
        <v>412</v>
      </c>
      <c r="N171" s="135"/>
      <c r="O171" s="134"/>
      <c r="R171" t="s">
        <v>584</v>
      </c>
      <c r="V171" s="15">
        <v>28928.59</v>
      </c>
    </row>
    <row r="172" spans="1:24" x14ac:dyDescent="0.3">
      <c r="A172" s="12"/>
      <c r="B172" s="105" t="s">
        <v>485</v>
      </c>
      <c r="C172" s="213" t="s">
        <v>1053</v>
      </c>
      <c r="D172" s="132" t="s">
        <v>512</v>
      </c>
      <c r="E172" s="214" t="s">
        <v>998</v>
      </c>
      <c r="F172" s="215"/>
      <c r="G172" s="215"/>
      <c r="H172" s="219">
        <v>29.5</v>
      </c>
      <c r="I172" s="215"/>
      <c r="J172" s="215"/>
      <c r="K172" s="43">
        <f t="shared" si="3"/>
        <v>29.5</v>
      </c>
      <c r="L172" s="43">
        <f t="shared" si="4"/>
        <v>26189.039999999997</v>
      </c>
      <c r="M172" s="16" t="s">
        <v>412</v>
      </c>
      <c r="N172" s="136"/>
      <c r="O172" s="134"/>
    </row>
    <row r="173" spans="1:24" x14ac:dyDescent="0.3">
      <c r="B173" s="105" t="s">
        <v>485</v>
      </c>
      <c r="C173" s="213" t="s">
        <v>338</v>
      </c>
      <c r="D173" s="132" t="s">
        <v>512</v>
      </c>
      <c r="E173" s="214" t="s">
        <v>1055</v>
      </c>
      <c r="F173" s="215"/>
      <c r="G173" s="215"/>
      <c r="H173" s="219">
        <v>8</v>
      </c>
      <c r="I173" s="215"/>
      <c r="J173" s="215"/>
      <c r="K173" s="43">
        <f t="shared" si="3"/>
        <v>8</v>
      </c>
      <c r="L173" s="43">
        <f t="shared" si="4"/>
        <v>26197.039999999997</v>
      </c>
      <c r="M173" s="18" t="s">
        <v>90</v>
      </c>
      <c r="R173" t="s">
        <v>586</v>
      </c>
      <c r="U173" s="43"/>
    </row>
    <row r="174" spans="1:24" x14ac:dyDescent="0.3">
      <c r="B174" s="105" t="s">
        <v>485</v>
      </c>
      <c r="C174" s="213" t="s">
        <v>1054</v>
      </c>
      <c r="D174" s="112" t="s">
        <v>500</v>
      </c>
      <c r="E174" s="121" t="s">
        <v>681</v>
      </c>
      <c r="F174" s="215"/>
      <c r="G174" s="215"/>
      <c r="H174" s="218">
        <v>50</v>
      </c>
      <c r="I174" s="215"/>
      <c r="J174" s="215"/>
      <c r="K174" s="43">
        <f t="shared" si="3"/>
        <v>50</v>
      </c>
      <c r="L174" s="43">
        <f t="shared" si="4"/>
        <v>26247.039999999997</v>
      </c>
      <c r="M174" s="18" t="s">
        <v>412</v>
      </c>
      <c r="R174">
        <v>500763</v>
      </c>
      <c r="S174"/>
      <c r="U174" s="43"/>
      <c r="V174" s="15">
        <v>-50</v>
      </c>
    </row>
    <row r="175" spans="1:24" x14ac:dyDescent="0.3">
      <c r="B175" s="105" t="s">
        <v>485</v>
      </c>
      <c r="C175" s="213" t="s">
        <v>1054</v>
      </c>
      <c r="D175" s="132" t="s">
        <v>512</v>
      </c>
      <c r="F175" s="27"/>
      <c r="G175" s="210"/>
      <c r="H175" s="220">
        <v>12</v>
      </c>
      <c r="I175" s="42"/>
      <c r="J175" s="42"/>
      <c r="K175" s="43">
        <f t="shared" si="3"/>
        <v>12</v>
      </c>
      <c r="L175" s="43">
        <f t="shared" si="4"/>
        <v>26259.039999999997</v>
      </c>
      <c r="M175" s="18" t="s">
        <v>412</v>
      </c>
      <c r="R175">
        <v>500769</v>
      </c>
      <c r="U175" s="43"/>
      <c r="V175" s="57">
        <v>-50</v>
      </c>
      <c r="W175" t="s">
        <v>90</v>
      </c>
      <c r="X175"/>
    </row>
    <row r="176" spans="1:24" x14ac:dyDescent="0.3">
      <c r="B176" s="105" t="s">
        <v>485</v>
      </c>
      <c r="C176" s="213" t="s">
        <v>1053</v>
      </c>
      <c r="D176" s="112" t="s">
        <v>504</v>
      </c>
      <c r="E176" s="121" t="s">
        <v>1058</v>
      </c>
      <c r="F176" s="27"/>
      <c r="G176" s="120">
        <v>500769</v>
      </c>
      <c r="H176" s="217"/>
      <c r="I176" s="42"/>
      <c r="J176" s="49">
        <v>-50</v>
      </c>
      <c r="K176" s="43">
        <f t="shared" si="3"/>
        <v>-50</v>
      </c>
      <c r="L176" s="43">
        <f t="shared" si="4"/>
        <v>26209.039999999997</v>
      </c>
      <c r="M176" s="18" t="s">
        <v>1097</v>
      </c>
      <c r="R176" s="1">
        <v>500772</v>
      </c>
      <c r="U176" s="43"/>
      <c r="V176" s="57">
        <v>-75</v>
      </c>
      <c r="W176" t="s">
        <v>90</v>
      </c>
      <c r="X176"/>
    </row>
    <row r="177" spans="1:25" x14ac:dyDescent="0.3">
      <c r="B177" s="105" t="s">
        <v>485</v>
      </c>
      <c r="C177" s="4" t="s">
        <v>1056</v>
      </c>
      <c r="D177" s="132"/>
      <c r="E177" s="120"/>
      <c r="F177" s="27"/>
      <c r="G177" s="120">
        <v>500770</v>
      </c>
      <c r="H177" s="42"/>
      <c r="I177" s="42"/>
      <c r="J177" s="42">
        <v>0</v>
      </c>
      <c r="K177" s="43">
        <f t="shared" si="3"/>
        <v>0</v>
      </c>
      <c r="L177" s="43">
        <f t="shared" si="4"/>
        <v>26209.039999999997</v>
      </c>
      <c r="R177" s="4"/>
      <c r="U177" s="43"/>
      <c r="X177"/>
    </row>
    <row r="178" spans="1:25" x14ac:dyDescent="0.3">
      <c r="A178" s="12"/>
      <c r="B178" s="105" t="s">
        <v>485</v>
      </c>
      <c r="C178" s="213" t="s">
        <v>1054</v>
      </c>
      <c r="D178" s="112" t="s">
        <v>504</v>
      </c>
      <c r="E178" s="121" t="s">
        <v>1057</v>
      </c>
      <c r="F178" s="27"/>
      <c r="G178" s="33">
        <v>500771</v>
      </c>
      <c r="H178" s="42"/>
      <c r="I178" s="42"/>
      <c r="J178" s="49">
        <v>-50</v>
      </c>
      <c r="K178" s="43">
        <f t="shared" si="3"/>
        <v>-50</v>
      </c>
      <c r="L178" s="43">
        <f t="shared" si="4"/>
        <v>26159.039999999997</v>
      </c>
      <c r="M178" s="18" t="s">
        <v>90</v>
      </c>
      <c r="N178" s="18"/>
      <c r="R178" s="4" t="s">
        <v>1069</v>
      </c>
      <c r="U178" s="43"/>
      <c r="V178" s="57"/>
      <c r="X178"/>
    </row>
    <row r="179" spans="1:25" x14ac:dyDescent="0.3">
      <c r="A179" s="12"/>
      <c r="B179" s="105" t="s">
        <v>485</v>
      </c>
      <c r="C179" s="213" t="s">
        <v>1060</v>
      </c>
      <c r="D179" s="132" t="s">
        <v>512</v>
      </c>
      <c r="E179" s="33"/>
      <c r="F179" s="27"/>
      <c r="G179" s="33"/>
      <c r="H179" s="42">
        <v>59.2</v>
      </c>
      <c r="I179" s="42"/>
      <c r="J179" s="42"/>
      <c r="K179" s="43">
        <f t="shared" si="3"/>
        <v>59.2</v>
      </c>
      <c r="L179" s="43">
        <f t="shared" si="4"/>
        <v>26218.239999999998</v>
      </c>
      <c r="M179" s="16" t="s">
        <v>90</v>
      </c>
      <c r="R179" t="s">
        <v>1070</v>
      </c>
      <c r="V179" s="15">
        <v>181.3</v>
      </c>
      <c r="W179" t="s">
        <v>90</v>
      </c>
    </row>
    <row r="180" spans="1:25" x14ac:dyDescent="0.3">
      <c r="A180" s="12"/>
      <c r="B180" s="105" t="s">
        <v>485</v>
      </c>
      <c r="C180" s="213" t="s">
        <v>1059</v>
      </c>
      <c r="D180" s="132" t="s">
        <v>512</v>
      </c>
      <c r="E180" s="33"/>
      <c r="F180" s="27"/>
      <c r="G180" s="33"/>
      <c r="H180" s="42">
        <v>32</v>
      </c>
      <c r="I180" s="42"/>
      <c r="J180" s="42"/>
      <c r="K180" s="43">
        <f t="shared" si="3"/>
        <v>32</v>
      </c>
      <c r="L180" s="43">
        <f t="shared" ref="L180:L192" si="7">L179+K180</f>
        <v>26250.239999999998</v>
      </c>
      <c r="M180" s="16" t="s">
        <v>90</v>
      </c>
      <c r="R180" t="s">
        <v>1071</v>
      </c>
      <c r="V180" s="15">
        <v>137.19999999999999</v>
      </c>
      <c r="W180" t="s">
        <v>90</v>
      </c>
    </row>
    <row r="181" spans="1:25" x14ac:dyDescent="0.3">
      <c r="B181" s="105" t="s">
        <v>485</v>
      </c>
      <c r="C181" s="4" t="s">
        <v>615</v>
      </c>
      <c r="D181" s="133" t="s">
        <v>513</v>
      </c>
      <c r="E181" s="168" t="s">
        <v>1061</v>
      </c>
      <c r="F181" s="27"/>
      <c r="G181" s="33"/>
      <c r="H181" s="51">
        <v>181.3</v>
      </c>
      <c r="I181" s="42"/>
      <c r="J181" s="42"/>
      <c r="K181" s="43">
        <f t="shared" si="3"/>
        <v>181.3</v>
      </c>
      <c r="L181" s="43">
        <f t="shared" si="7"/>
        <v>26431.539999999997</v>
      </c>
      <c r="M181" s="18" t="s">
        <v>1098</v>
      </c>
      <c r="N181" s="25" t="s">
        <v>1062</v>
      </c>
      <c r="S181"/>
      <c r="U181" s="43"/>
      <c r="V181" s="57"/>
    </row>
    <row r="182" spans="1:25" x14ac:dyDescent="0.3">
      <c r="A182" s="12"/>
      <c r="B182" s="105" t="s">
        <v>485</v>
      </c>
      <c r="C182" s="4" t="s">
        <v>561</v>
      </c>
      <c r="D182" s="133" t="s">
        <v>513</v>
      </c>
      <c r="E182" s="120" t="s">
        <v>1061</v>
      </c>
      <c r="F182" s="27"/>
      <c r="G182" s="33"/>
      <c r="H182" s="51">
        <v>137.19999999999999</v>
      </c>
      <c r="I182" s="42"/>
      <c r="J182" s="170"/>
      <c r="K182" s="43">
        <f t="shared" si="3"/>
        <v>137.19999999999999</v>
      </c>
      <c r="L182" s="43">
        <f t="shared" si="7"/>
        <v>26568.739999999998</v>
      </c>
      <c r="M182" s="18" t="s">
        <v>1098</v>
      </c>
      <c r="U182" s="43"/>
    </row>
    <row r="183" spans="1:25" x14ac:dyDescent="0.3">
      <c r="A183" s="12"/>
      <c r="B183" s="105" t="s">
        <v>485</v>
      </c>
      <c r="C183" s="4" t="s">
        <v>1063</v>
      </c>
      <c r="D183" s="132" t="s">
        <v>512</v>
      </c>
      <c r="E183" s="33"/>
      <c r="F183" s="27"/>
      <c r="G183" s="33"/>
      <c r="H183" s="42">
        <v>93</v>
      </c>
      <c r="I183" s="42"/>
      <c r="J183" s="42"/>
      <c r="K183" s="43">
        <f t="shared" si="3"/>
        <v>93</v>
      </c>
      <c r="L183" s="43">
        <f t="shared" si="7"/>
        <v>26661.739999999998</v>
      </c>
      <c r="M183" s="18" t="s">
        <v>412</v>
      </c>
      <c r="U183" s="43"/>
    </row>
    <row r="184" spans="1:25" x14ac:dyDescent="0.3">
      <c r="A184" s="29"/>
      <c r="B184" s="105" t="s">
        <v>485</v>
      </c>
      <c r="C184" s="4" t="s">
        <v>1063</v>
      </c>
      <c r="D184" s="132" t="s">
        <v>500</v>
      </c>
      <c r="E184" s="121" t="s">
        <v>684</v>
      </c>
      <c r="H184" s="49">
        <v>75</v>
      </c>
      <c r="I184" s="42"/>
      <c r="J184" s="42"/>
      <c r="K184" s="43">
        <f t="shared" si="3"/>
        <v>75</v>
      </c>
      <c r="L184" s="43">
        <f t="shared" si="7"/>
        <v>26736.739999999998</v>
      </c>
      <c r="M184" s="18" t="s">
        <v>412</v>
      </c>
      <c r="U184"/>
      <c r="V184" s="57"/>
      <c r="X184"/>
    </row>
    <row r="185" spans="1:25" x14ac:dyDescent="0.3">
      <c r="A185" s="12"/>
      <c r="B185" s="105" t="s">
        <v>485</v>
      </c>
      <c r="C185" s="4" t="s">
        <v>174</v>
      </c>
      <c r="D185" s="133" t="s">
        <v>513</v>
      </c>
      <c r="E185" s="120" t="s">
        <v>1061</v>
      </c>
      <c r="F185" s="27"/>
      <c r="G185" s="33"/>
      <c r="H185" s="51">
        <v>3404.25</v>
      </c>
      <c r="I185" s="42"/>
      <c r="J185" s="42"/>
      <c r="K185" s="43">
        <f t="shared" si="3"/>
        <v>3404.25</v>
      </c>
      <c r="L185" s="43">
        <f t="shared" si="7"/>
        <v>30140.989999999998</v>
      </c>
      <c r="M185" s="18" t="s">
        <v>90</v>
      </c>
      <c r="R185"/>
      <c r="S185"/>
      <c r="U185" s="43"/>
    </row>
    <row r="186" spans="1:25" x14ac:dyDescent="0.3">
      <c r="A186" s="12"/>
      <c r="B186" s="105" t="s">
        <v>485</v>
      </c>
      <c r="C186" s="4" t="s">
        <v>1063</v>
      </c>
      <c r="D186" s="112" t="s">
        <v>504</v>
      </c>
      <c r="E186" s="121" t="s">
        <v>1064</v>
      </c>
      <c r="F186" s="215"/>
      <c r="G186" s="33">
        <v>500772</v>
      </c>
      <c r="H186" s="215"/>
      <c r="I186" s="215"/>
      <c r="J186" s="225">
        <v>-75</v>
      </c>
      <c r="K186" s="43">
        <f t="shared" si="3"/>
        <v>-75</v>
      </c>
      <c r="L186" s="43">
        <f t="shared" si="7"/>
        <v>30065.989999999998</v>
      </c>
      <c r="M186" s="18" t="s">
        <v>1097</v>
      </c>
      <c r="R186"/>
      <c r="V186" s="57"/>
    </row>
    <row r="187" spans="1:25" x14ac:dyDescent="0.3">
      <c r="B187" s="105" t="s">
        <v>485</v>
      </c>
      <c r="C187" s="4" t="s">
        <v>1065</v>
      </c>
      <c r="D187" s="133" t="s">
        <v>518</v>
      </c>
      <c r="E187" s="213" t="s">
        <v>1066</v>
      </c>
      <c r="F187" s="215"/>
      <c r="G187" s="214" t="s">
        <v>714</v>
      </c>
      <c r="H187" s="215"/>
      <c r="I187" s="215"/>
      <c r="J187" s="226">
        <v>-474</v>
      </c>
      <c r="K187" s="43">
        <f t="shared" si="3"/>
        <v>-474</v>
      </c>
      <c r="L187" s="43">
        <f t="shared" si="7"/>
        <v>29591.989999999998</v>
      </c>
      <c r="M187" s="18" t="s">
        <v>412</v>
      </c>
    </row>
    <row r="188" spans="1:25" x14ac:dyDescent="0.3">
      <c r="A188" s="12"/>
      <c r="B188" s="105" t="s">
        <v>485</v>
      </c>
      <c r="C188" s="4" t="s">
        <v>1065</v>
      </c>
      <c r="D188" s="133" t="s">
        <v>518</v>
      </c>
      <c r="E188" s="213" t="s">
        <v>1067</v>
      </c>
      <c r="F188" s="215"/>
      <c r="G188" s="214" t="s">
        <v>714</v>
      </c>
      <c r="H188" s="215"/>
      <c r="I188" s="215"/>
      <c r="J188" s="226">
        <v>-204</v>
      </c>
      <c r="K188" s="43">
        <f t="shared" si="3"/>
        <v>-204</v>
      </c>
      <c r="L188" s="43">
        <f t="shared" si="7"/>
        <v>29387.989999999998</v>
      </c>
      <c r="M188" s="18" t="s">
        <v>412</v>
      </c>
      <c r="Y188" s="57"/>
    </row>
    <row r="189" spans="1:25" x14ac:dyDescent="0.3">
      <c r="A189" s="12"/>
      <c r="B189" s="105" t="s">
        <v>485</v>
      </c>
      <c r="C189" s="4" t="s">
        <v>1068</v>
      </c>
      <c r="D189" s="133" t="s">
        <v>12</v>
      </c>
      <c r="E189" s="213" t="s">
        <v>745</v>
      </c>
      <c r="F189" s="215"/>
      <c r="G189" s="214"/>
      <c r="H189" s="215"/>
      <c r="I189" s="215"/>
      <c r="J189" s="226">
        <v>-315.89999999999998</v>
      </c>
      <c r="K189" s="43">
        <f t="shared" si="3"/>
        <v>-315.89999999999998</v>
      </c>
      <c r="L189" s="75">
        <f t="shared" si="7"/>
        <v>29072.089999999997</v>
      </c>
      <c r="M189" s="18" t="s">
        <v>90</v>
      </c>
      <c r="N189" s="25"/>
      <c r="R189" t="s">
        <v>652</v>
      </c>
      <c r="V189" s="23">
        <f>SUM(V171:V186)</f>
        <v>29072.09</v>
      </c>
      <c r="X189" t="s">
        <v>588</v>
      </c>
    </row>
    <row r="190" spans="1:25" x14ac:dyDescent="0.3">
      <c r="A190" s="12"/>
      <c r="B190" s="105" t="s">
        <v>485</v>
      </c>
      <c r="C190" s="4"/>
      <c r="D190" s="132"/>
      <c r="E190" s="128"/>
      <c r="F190" s="27"/>
      <c r="G190" s="120"/>
      <c r="H190" s="42"/>
      <c r="I190" s="42"/>
      <c r="J190" s="227"/>
      <c r="K190" s="43">
        <f t="shared" si="3"/>
        <v>0</v>
      </c>
      <c r="L190" s="43">
        <f t="shared" si="7"/>
        <v>29072.089999999997</v>
      </c>
    </row>
    <row r="191" spans="1:25" x14ac:dyDescent="0.3">
      <c r="C191" s="4"/>
      <c r="D191" s="112"/>
      <c r="E191" s="128"/>
      <c r="F191" s="27"/>
      <c r="G191" s="120"/>
      <c r="H191" s="42"/>
      <c r="I191" s="42"/>
      <c r="J191" s="227"/>
      <c r="K191" s="43">
        <f t="shared" si="3"/>
        <v>0</v>
      </c>
      <c r="L191" s="43">
        <f t="shared" si="7"/>
        <v>29072.089999999997</v>
      </c>
    </row>
    <row r="192" spans="1:25" x14ac:dyDescent="0.3">
      <c r="A192" s="28" t="s">
        <v>694</v>
      </c>
      <c r="B192" s="105" t="s">
        <v>486</v>
      </c>
      <c r="C192" s="4" t="s">
        <v>159</v>
      </c>
      <c r="D192" s="133" t="s">
        <v>513</v>
      </c>
      <c r="E192" s="120" t="s">
        <v>1080</v>
      </c>
      <c r="F192" s="27"/>
      <c r="G192" s="33">
        <v>500773</v>
      </c>
      <c r="H192" s="42"/>
      <c r="I192" s="42"/>
      <c r="J192" s="227">
        <v>-32</v>
      </c>
      <c r="K192" s="43">
        <f t="shared" si="3"/>
        <v>-32</v>
      </c>
      <c r="L192" s="43">
        <f t="shared" si="7"/>
        <v>29040.089999999997</v>
      </c>
      <c r="M192" s="18" t="s">
        <v>90</v>
      </c>
    </row>
    <row r="193" spans="1:24" x14ac:dyDescent="0.3">
      <c r="A193" s="28"/>
      <c r="B193" s="105" t="s">
        <v>486</v>
      </c>
      <c r="C193" s="4" t="s">
        <v>1101</v>
      </c>
      <c r="D193" s="132" t="s">
        <v>512</v>
      </c>
      <c r="E193" s="120"/>
      <c r="F193" s="27"/>
      <c r="G193" s="33"/>
      <c r="H193" s="42">
        <v>32</v>
      </c>
      <c r="I193" s="42"/>
      <c r="J193" s="227"/>
      <c r="K193" s="43">
        <f>H193+J193</f>
        <v>32</v>
      </c>
      <c r="L193" s="43">
        <f t="shared" ref="L193:L243" si="8">L192+K193</f>
        <v>29072.089999999997</v>
      </c>
      <c r="M193" s="18" t="s">
        <v>90</v>
      </c>
    </row>
    <row r="194" spans="1:24" x14ac:dyDescent="0.3">
      <c r="A194" s="12"/>
      <c r="B194" s="105" t="s">
        <v>486</v>
      </c>
      <c r="C194" s="4" t="s">
        <v>1074</v>
      </c>
      <c r="D194" s="132" t="s">
        <v>500</v>
      </c>
      <c r="E194" s="121" t="s">
        <v>341</v>
      </c>
      <c r="F194" s="27"/>
      <c r="G194" s="210"/>
      <c r="H194" s="49">
        <v>75</v>
      </c>
      <c r="I194" s="42"/>
      <c r="J194" s="227"/>
      <c r="K194" s="43">
        <f t="shared" si="3"/>
        <v>75</v>
      </c>
      <c r="L194" s="43">
        <f t="shared" si="8"/>
        <v>29147.089999999997</v>
      </c>
      <c r="M194" s="16" t="s">
        <v>90</v>
      </c>
      <c r="N194" s="25" t="s">
        <v>1075</v>
      </c>
      <c r="O194" s="134"/>
      <c r="X194"/>
    </row>
    <row r="195" spans="1:24" x14ac:dyDescent="0.3">
      <c r="A195" s="12"/>
      <c r="B195" s="105" t="s">
        <v>486</v>
      </c>
      <c r="C195" s="4" t="s">
        <v>743</v>
      </c>
      <c r="D195" s="132" t="s">
        <v>512</v>
      </c>
      <c r="E195" s="120"/>
      <c r="F195" s="27"/>
      <c r="G195" s="33"/>
      <c r="H195" s="42">
        <v>16</v>
      </c>
      <c r="I195" s="42"/>
      <c r="J195" s="227"/>
      <c r="K195" s="43">
        <f t="shared" si="3"/>
        <v>16</v>
      </c>
      <c r="L195" s="43">
        <f t="shared" si="8"/>
        <v>29163.089999999997</v>
      </c>
      <c r="M195" s="18" t="s">
        <v>90</v>
      </c>
      <c r="X195"/>
    </row>
    <row r="196" spans="1:24" x14ac:dyDescent="0.3">
      <c r="A196" s="12"/>
      <c r="B196" s="105" t="s">
        <v>486</v>
      </c>
      <c r="C196" s="4" t="s">
        <v>985</v>
      </c>
      <c r="D196" s="132" t="s">
        <v>512</v>
      </c>
      <c r="E196" s="120"/>
      <c r="F196" s="27"/>
      <c r="G196" s="120" t="s">
        <v>1072</v>
      </c>
      <c r="H196" s="42">
        <v>70</v>
      </c>
      <c r="I196" s="42"/>
      <c r="J196" s="227"/>
      <c r="K196" s="43">
        <f t="shared" si="3"/>
        <v>70</v>
      </c>
      <c r="L196" s="43">
        <f t="shared" si="8"/>
        <v>29233.089999999997</v>
      </c>
      <c r="M196" s="18" t="s">
        <v>90</v>
      </c>
    </row>
    <row r="197" spans="1:24" x14ac:dyDescent="0.3">
      <c r="A197" s="12"/>
      <c r="B197" s="105" t="s">
        <v>486</v>
      </c>
      <c r="C197" s="4" t="s">
        <v>284</v>
      </c>
      <c r="D197" s="132" t="s">
        <v>512</v>
      </c>
      <c r="E197" s="120" t="s">
        <v>1076</v>
      </c>
      <c r="F197" s="27"/>
      <c r="G197" s="120" t="s">
        <v>1072</v>
      </c>
      <c r="H197" s="171">
        <v>300</v>
      </c>
      <c r="I197" s="42"/>
      <c r="J197" s="227"/>
      <c r="K197" s="43">
        <f>H197+J197</f>
        <v>300</v>
      </c>
      <c r="L197" s="43">
        <f t="shared" si="8"/>
        <v>29533.089999999997</v>
      </c>
      <c r="M197" s="18" t="s">
        <v>90</v>
      </c>
    </row>
    <row r="198" spans="1:24" x14ac:dyDescent="0.3">
      <c r="A198" s="12"/>
      <c r="B198" s="105" t="s">
        <v>486</v>
      </c>
      <c r="C198" s="4" t="s">
        <v>1073</v>
      </c>
      <c r="D198" s="132" t="s">
        <v>512</v>
      </c>
      <c r="E198" s="120"/>
      <c r="F198" s="27"/>
      <c r="G198" s="33"/>
      <c r="H198" s="42">
        <v>68</v>
      </c>
      <c r="I198" s="42"/>
      <c r="J198" s="227"/>
      <c r="K198" s="43">
        <f t="shared" si="3"/>
        <v>68</v>
      </c>
      <c r="L198" s="43">
        <f t="shared" si="8"/>
        <v>29601.089999999997</v>
      </c>
      <c r="M198" s="18" t="s">
        <v>412</v>
      </c>
    </row>
    <row r="199" spans="1:24" x14ac:dyDescent="0.3">
      <c r="A199" s="12"/>
      <c r="B199" s="105" t="s">
        <v>486</v>
      </c>
      <c r="C199" s="4" t="s">
        <v>1073</v>
      </c>
      <c r="D199" s="132" t="s">
        <v>500</v>
      </c>
      <c r="E199" s="121" t="s">
        <v>343</v>
      </c>
      <c r="F199" s="27"/>
      <c r="G199" s="210"/>
      <c r="H199" s="49">
        <v>50</v>
      </c>
      <c r="I199" s="42"/>
      <c r="J199" s="42"/>
      <c r="K199" s="43">
        <f t="shared" si="3"/>
        <v>50</v>
      </c>
      <c r="L199" s="43">
        <f t="shared" si="8"/>
        <v>29651.089999999997</v>
      </c>
      <c r="M199" s="18" t="s">
        <v>412</v>
      </c>
    </row>
    <row r="200" spans="1:24" x14ac:dyDescent="0.3">
      <c r="A200" s="12"/>
      <c r="B200" s="105" t="s">
        <v>486</v>
      </c>
      <c r="C200" s="4" t="s">
        <v>1077</v>
      </c>
      <c r="D200" s="133" t="s">
        <v>86</v>
      </c>
      <c r="E200" s="120" t="s">
        <v>1078</v>
      </c>
      <c r="F200" s="27"/>
      <c r="G200" s="120" t="s">
        <v>464</v>
      </c>
      <c r="H200" s="42"/>
      <c r="I200" s="42"/>
      <c r="J200" s="227">
        <v>-100</v>
      </c>
      <c r="K200" s="43">
        <f t="shared" si="3"/>
        <v>-100</v>
      </c>
      <c r="L200" s="43">
        <f t="shared" si="8"/>
        <v>29551.089999999997</v>
      </c>
      <c r="M200" s="18" t="s">
        <v>90</v>
      </c>
      <c r="X200"/>
    </row>
    <row r="201" spans="1:24" x14ac:dyDescent="0.3">
      <c r="B201" s="105" t="s">
        <v>486</v>
      </c>
      <c r="C201" s="4" t="s">
        <v>1079</v>
      </c>
      <c r="D201" s="133" t="s">
        <v>13</v>
      </c>
      <c r="E201" s="120" t="s">
        <v>1078</v>
      </c>
      <c r="F201" s="27"/>
      <c r="G201" s="120" t="s">
        <v>49</v>
      </c>
      <c r="H201" s="42"/>
      <c r="I201" s="42"/>
      <c r="J201" s="227">
        <v>-35</v>
      </c>
      <c r="K201" s="43">
        <f t="shared" si="3"/>
        <v>-35</v>
      </c>
      <c r="L201" s="43">
        <f t="shared" si="8"/>
        <v>29516.089999999997</v>
      </c>
      <c r="M201" s="16" t="s">
        <v>90</v>
      </c>
    </row>
    <row r="202" spans="1:24" x14ac:dyDescent="0.3">
      <c r="B202" s="105" t="s">
        <v>486</v>
      </c>
      <c r="C202" s="4" t="s">
        <v>299</v>
      </c>
      <c r="D202" s="133" t="s">
        <v>301</v>
      </c>
      <c r="E202" s="1"/>
      <c r="F202" s="4"/>
      <c r="G202" s="1"/>
      <c r="H202" s="125"/>
      <c r="I202" s="125"/>
      <c r="J202" s="232">
        <v>-35.880000000000003</v>
      </c>
      <c r="K202" s="43">
        <f t="shared" si="3"/>
        <v>-35.880000000000003</v>
      </c>
      <c r="L202" s="43">
        <f t="shared" si="8"/>
        <v>29480.209999999995</v>
      </c>
      <c r="M202" s="18" t="s">
        <v>90</v>
      </c>
      <c r="Q202" s="30" t="s">
        <v>1129</v>
      </c>
      <c r="R202" s="30"/>
      <c r="S202" s="30"/>
      <c r="T202"/>
      <c r="U202"/>
      <c r="V202"/>
      <c r="W202"/>
    </row>
    <row r="203" spans="1:24" x14ac:dyDescent="0.3">
      <c r="B203" s="105" t="s">
        <v>486</v>
      </c>
      <c r="C203" s="4" t="s">
        <v>607</v>
      </c>
      <c r="D203" s="133" t="s">
        <v>11</v>
      </c>
      <c r="E203" s="1"/>
      <c r="F203" s="4"/>
      <c r="G203" s="1"/>
      <c r="H203" s="125"/>
      <c r="I203" s="125"/>
      <c r="J203" s="232">
        <v>-122.98</v>
      </c>
      <c r="K203" s="43">
        <f t="shared" si="3"/>
        <v>-122.98</v>
      </c>
      <c r="L203" s="43">
        <f t="shared" si="8"/>
        <v>29357.229999999996</v>
      </c>
      <c r="M203" s="18" t="s">
        <v>90</v>
      </c>
      <c r="Q203"/>
      <c r="R203"/>
      <c r="S203"/>
      <c r="T203"/>
      <c r="U203"/>
      <c r="V203"/>
      <c r="W203"/>
    </row>
    <row r="204" spans="1:24" x14ac:dyDescent="0.3">
      <c r="B204" s="105" t="s">
        <v>486</v>
      </c>
      <c r="C204" s="214" t="s">
        <v>1109</v>
      </c>
      <c r="D204" s="133" t="s">
        <v>12</v>
      </c>
      <c r="E204" s="1"/>
      <c r="F204" s="4"/>
      <c r="G204" s="1"/>
      <c r="H204" s="125"/>
      <c r="I204" s="125"/>
      <c r="J204" s="232">
        <v>-41.98</v>
      </c>
      <c r="K204" s="43">
        <f>H204+J204</f>
        <v>-41.98</v>
      </c>
      <c r="L204" s="43">
        <f t="shared" si="8"/>
        <v>29315.249999999996</v>
      </c>
      <c r="M204" s="18" t="s">
        <v>90</v>
      </c>
      <c r="Q204" t="s">
        <v>584</v>
      </c>
      <c r="R204"/>
      <c r="S204"/>
      <c r="T204"/>
      <c r="U204">
        <v>29237.14</v>
      </c>
      <c r="V204"/>
      <c r="W204"/>
    </row>
    <row r="205" spans="1:24" x14ac:dyDescent="0.3">
      <c r="B205" s="105" t="s">
        <v>486</v>
      </c>
      <c r="C205" s="4" t="s">
        <v>48</v>
      </c>
      <c r="D205" s="133" t="s">
        <v>12</v>
      </c>
      <c r="E205" s="1"/>
      <c r="F205" s="4"/>
      <c r="G205" s="1"/>
      <c r="H205" s="125"/>
      <c r="I205" s="125"/>
      <c r="J205" s="232">
        <v>-71.599999999999994</v>
      </c>
      <c r="K205" s="43">
        <f t="shared" si="3"/>
        <v>-71.599999999999994</v>
      </c>
      <c r="L205" s="43">
        <f t="shared" si="8"/>
        <v>29243.649999999998</v>
      </c>
      <c r="M205" s="18" t="s">
        <v>90</v>
      </c>
      <c r="Q205"/>
      <c r="R205"/>
      <c r="S205"/>
      <c r="T205"/>
      <c r="U205"/>
      <c r="V205"/>
      <c r="W205"/>
    </row>
    <row r="206" spans="1:24" x14ac:dyDescent="0.3">
      <c r="B206" s="105" t="s">
        <v>486</v>
      </c>
      <c r="C206" s="4" t="s">
        <v>1068</v>
      </c>
      <c r="D206" s="133" t="s">
        <v>12</v>
      </c>
      <c r="E206" s="213" t="s">
        <v>486</v>
      </c>
      <c r="F206" s="215"/>
      <c r="G206" s="214"/>
      <c r="H206" s="215"/>
      <c r="I206" s="215"/>
      <c r="J206" s="228">
        <v>-469.8</v>
      </c>
      <c r="K206" s="43">
        <f t="shared" si="3"/>
        <v>-469.8</v>
      </c>
      <c r="L206" s="43">
        <f t="shared" si="8"/>
        <v>28773.85</v>
      </c>
      <c r="M206" s="18" t="s">
        <v>1103</v>
      </c>
      <c r="Q206" t="s">
        <v>650</v>
      </c>
      <c r="R206"/>
      <c r="S206"/>
      <c r="T206" s="125"/>
      <c r="U206"/>
      <c r="V206"/>
      <c r="W206"/>
    </row>
    <row r="207" spans="1:24" x14ac:dyDescent="0.3">
      <c r="B207" s="105" t="s">
        <v>486</v>
      </c>
      <c r="C207" s="4" t="s">
        <v>58</v>
      </c>
      <c r="D207" s="133" t="s">
        <v>9</v>
      </c>
      <c r="E207" s="120" t="s">
        <v>745</v>
      </c>
      <c r="F207" s="215"/>
      <c r="G207" s="214"/>
      <c r="H207" s="215"/>
      <c r="I207" s="215"/>
      <c r="J207" s="228">
        <v>-97.61</v>
      </c>
      <c r="K207" s="43">
        <f t="shared" ref="K207:K212" si="9">H207+J207</f>
        <v>-97.61</v>
      </c>
      <c r="L207" s="43">
        <f t="shared" si="8"/>
        <v>28676.239999999998</v>
      </c>
      <c r="M207" s="18" t="s">
        <v>90</v>
      </c>
      <c r="Q207" s="213" t="s">
        <v>1089</v>
      </c>
      <c r="R207" s="213"/>
      <c r="S207"/>
      <c r="U207" s="125">
        <v>51</v>
      </c>
      <c r="V207" t="s">
        <v>534</v>
      </c>
      <c r="W207"/>
    </row>
    <row r="208" spans="1:24" x14ac:dyDescent="0.3">
      <c r="B208" s="105" t="s">
        <v>486</v>
      </c>
      <c r="C208" s="4" t="s">
        <v>1095</v>
      </c>
      <c r="F208" s="215"/>
      <c r="G208" s="231" t="s">
        <v>1083</v>
      </c>
      <c r="H208" s="215"/>
      <c r="I208" s="215"/>
      <c r="J208" s="43">
        <v>0</v>
      </c>
      <c r="K208" s="43">
        <f t="shared" si="9"/>
        <v>0</v>
      </c>
      <c r="L208" s="43">
        <f t="shared" si="8"/>
        <v>28676.239999999998</v>
      </c>
      <c r="M208" s="18" t="s">
        <v>90</v>
      </c>
      <c r="Q208" s="213" t="s">
        <v>1090</v>
      </c>
      <c r="R208" s="213"/>
      <c r="S208"/>
      <c r="U208" s="125">
        <v>93.5</v>
      </c>
      <c r="V208" t="s">
        <v>534</v>
      </c>
      <c r="W208"/>
    </row>
    <row r="209" spans="1:23" x14ac:dyDescent="0.3">
      <c r="B209" s="105" t="s">
        <v>486</v>
      </c>
      <c r="C209" s="4" t="s">
        <v>985</v>
      </c>
      <c r="D209" s="112" t="s">
        <v>504</v>
      </c>
      <c r="E209" s="121" t="s">
        <v>1084</v>
      </c>
      <c r="F209" s="215"/>
      <c r="G209" s="231" t="s">
        <v>1082</v>
      </c>
      <c r="H209" s="215"/>
      <c r="I209" s="215"/>
      <c r="J209" s="233">
        <v>-100</v>
      </c>
      <c r="K209" s="43">
        <f t="shared" si="9"/>
        <v>-100</v>
      </c>
      <c r="L209" s="43">
        <f t="shared" si="8"/>
        <v>28576.239999999998</v>
      </c>
      <c r="M209" s="18" t="s">
        <v>90</v>
      </c>
      <c r="Q209" s="4" t="s">
        <v>166</v>
      </c>
      <c r="R209" s="4"/>
      <c r="S209"/>
      <c r="U209" s="125">
        <v>255</v>
      </c>
      <c r="V209" t="s">
        <v>90</v>
      </c>
      <c r="W209"/>
    </row>
    <row r="210" spans="1:23" x14ac:dyDescent="0.3">
      <c r="A210" s="12"/>
      <c r="B210" s="105" t="s">
        <v>486</v>
      </c>
      <c r="C210" s="4" t="s">
        <v>159</v>
      </c>
      <c r="D210" s="133" t="s">
        <v>518</v>
      </c>
      <c r="E210" s="242" t="s">
        <v>1032</v>
      </c>
      <c r="F210" s="215"/>
      <c r="G210" s="214"/>
      <c r="H210" s="243">
        <v>150</v>
      </c>
      <c r="I210" s="215"/>
      <c r="J210" s="229"/>
      <c r="K210" s="43">
        <f t="shared" si="9"/>
        <v>150</v>
      </c>
      <c r="L210" s="43">
        <f t="shared" si="8"/>
        <v>28726.239999999998</v>
      </c>
      <c r="M210" s="18" t="s">
        <v>90</v>
      </c>
      <c r="Q210" s="4" t="s">
        <v>144</v>
      </c>
      <c r="R210" s="4"/>
      <c r="S210"/>
      <c r="U210" s="125">
        <v>150</v>
      </c>
      <c r="V210" t="s">
        <v>534</v>
      </c>
      <c r="W210"/>
    </row>
    <row r="211" spans="1:23" x14ac:dyDescent="0.3">
      <c r="B211" s="105" t="s">
        <v>486</v>
      </c>
      <c r="C211" s="4" t="s">
        <v>753</v>
      </c>
      <c r="D211" s="133" t="s">
        <v>518</v>
      </c>
      <c r="E211" s="120" t="s">
        <v>1085</v>
      </c>
      <c r="F211" s="27"/>
      <c r="G211" s="33"/>
      <c r="H211" s="42"/>
      <c r="I211" s="42"/>
      <c r="J211" s="230">
        <v>-261.3</v>
      </c>
      <c r="K211" s="43">
        <f t="shared" si="9"/>
        <v>-261.3</v>
      </c>
      <c r="L211" s="43">
        <f t="shared" si="8"/>
        <v>28464.94</v>
      </c>
      <c r="M211" s="18" t="s">
        <v>90</v>
      </c>
      <c r="Q211" s="4"/>
      <c r="R211"/>
      <c r="S211"/>
      <c r="T211" s="125"/>
      <c r="U211" s="125"/>
      <c r="V211"/>
      <c r="W211"/>
    </row>
    <row r="212" spans="1:23" x14ac:dyDescent="0.3">
      <c r="B212" s="105" t="s">
        <v>486</v>
      </c>
      <c r="C212" s="4" t="s">
        <v>284</v>
      </c>
      <c r="D212" s="132" t="s">
        <v>512</v>
      </c>
      <c r="E212" s="128" t="s">
        <v>1086</v>
      </c>
      <c r="F212" s="27"/>
      <c r="G212" s="120"/>
      <c r="H212" s="42">
        <v>300</v>
      </c>
      <c r="I212" s="42"/>
      <c r="J212" s="230"/>
      <c r="K212" s="43">
        <f t="shared" si="9"/>
        <v>300</v>
      </c>
      <c r="L212" s="43">
        <f t="shared" si="8"/>
        <v>28764.94</v>
      </c>
      <c r="M212" s="18" t="s">
        <v>90</v>
      </c>
      <c r="Q212" t="s">
        <v>586</v>
      </c>
      <c r="R212"/>
      <c r="S212"/>
      <c r="T212" s="125"/>
      <c r="U212"/>
      <c r="V212"/>
      <c r="W212"/>
    </row>
    <row r="213" spans="1:23" x14ac:dyDescent="0.3">
      <c r="B213" s="105" t="s">
        <v>486</v>
      </c>
      <c r="C213" s="4" t="s">
        <v>1074</v>
      </c>
      <c r="D213" s="112" t="s">
        <v>504</v>
      </c>
      <c r="E213" s="121" t="s">
        <v>1087</v>
      </c>
      <c r="F213" s="169"/>
      <c r="G213" s="168" t="s">
        <v>1088</v>
      </c>
      <c r="H213" s="42"/>
      <c r="I213" s="42"/>
      <c r="J213" s="234">
        <v>-75</v>
      </c>
      <c r="K213" s="43">
        <f t="shared" ref="K213:K284" si="10">H213+J213</f>
        <v>-75</v>
      </c>
      <c r="L213" s="43">
        <f t="shared" si="8"/>
        <v>28689.94</v>
      </c>
      <c r="M213" s="18" t="s">
        <v>1103</v>
      </c>
      <c r="Q213">
        <v>500763</v>
      </c>
      <c r="R213"/>
      <c r="S213"/>
      <c r="T213"/>
      <c r="U213">
        <v>-50</v>
      </c>
      <c r="V213"/>
      <c r="W213"/>
    </row>
    <row r="214" spans="1:23" x14ac:dyDescent="0.3">
      <c r="A214" s="12"/>
      <c r="B214" s="105" t="s">
        <v>486</v>
      </c>
      <c r="C214" s="4" t="s">
        <v>144</v>
      </c>
      <c r="D214" s="133" t="s">
        <v>518</v>
      </c>
      <c r="E214" s="242" t="s">
        <v>1032</v>
      </c>
      <c r="F214" s="27"/>
      <c r="G214" s="33"/>
      <c r="H214" s="241">
        <v>150</v>
      </c>
      <c r="I214" s="42"/>
      <c r="J214" s="230"/>
      <c r="K214" s="43">
        <f t="shared" si="10"/>
        <v>150</v>
      </c>
      <c r="L214" s="43">
        <f t="shared" si="8"/>
        <v>28839.94</v>
      </c>
      <c r="M214" t="s">
        <v>1104</v>
      </c>
      <c r="Q214">
        <v>500777</v>
      </c>
      <c r="R214"/>
      <c r="S214"/>
      <c r="T214" s="125"/>
      <c r="U214" s="125">
        <v>-75</v>
      </c>
      <c r="V214" t="s">
        <v>90</v>
      </c>
      <c r="W214"/>
    </row>
    <row r="215" spans="1:23" x14ac:dyDescent="0.3">
      <c r="A215" s="12"/>
      <c r="B215" s="105" t="s">
        <v>486</v>
      </c>
      <c r="C215" s="213" t="s">
        <v>1089</v>
      </c>
      <c r="D215" s="132" t="s">
        <v>512</v>
      </c>
      <c r="E215" s="120"/>
      <c r="F215" s="27"/>
      <c r="G215" s="33"/>
      <c r="H215" s="42">
        <v>51</v>
      </c>
      <c r="I215" s="42"/>
      <c r="J215" s="230"/>
      <c r="K215" s="43">
        <f t="shared" si="10"/>
        <v>51</v>
      </c>
      <c r="L215" s="43">
        <f t="shared" si="8"/>
        <v>28890.94</v>
      </c>
      <c r="M215" t="s">
        <v>1104</v>
      </c>
      <c r="Q215" t="s">
        <v>1100</v>
      </c>
      <c r="R215"/>
      <c r="S215"/>
      <c r="T215"/>
      <c r="U215">
        <v>-469.8</v>
      </c>
      <c r="V215" t="s">
        <v>90</v>
      </c>
      <c r="W215"/>
    </row>
    <row r="216" spans="1:23" x14ac:dyDescent="0.3">
      <c r="A216" s="12"/>
      <c r="B216" s="105" t="s">
        <v>486</v>
      </c>
      <c r="C216" s="213" t="s">
        <v>1090</v>
      </c>
      <c r="D216" s="132" t="s">
        <v>512</v>
      </c>
      <c r="E216" s="120"/>
      <c r="F216" s="27"/>
      <c r="G216" s="33"/>
      <c r="H216" s="42">
        <v>93.5</v>
      </c>
      <c r="I216" s="42"/>
      <c r="J216" s="230"/>
      <c r="K216" s="43">
        <f t="shared" si="10"/>
        <v>93.5</v>
      </c>
      <c r="L216" s="43">
        <f t="shared" si="8"/>
        <v>28984.44</v>
      </c>
      <c r="M216" t="s">
        <v>1104</v>
      </c>
      <c r="N216" s="18"/>
      <c r="Q216"/>
      <c r="R216"/>
      <c r="S216"/>
      <c r="T216"/>
      <c r="U216"/>
      <c r="V216"/>
      <c r="W216"/>
    </row>
    <row r="217" spans="1:23" x14ac:dyDescent="0.3">
      <c r="B217" s="105" t="s">
        <v>486</v>
      </c>
      <c r="C217" s="4" t="s">
        <v>166</v>
      </c>
      <c r="D217" s="133" t="s">
        <v>513</v>
      </c>
      <c r="E217" s="120" t="s">
        <v>1091</v>
      </c>
      <c r="F217" s="27"/>
      <c r="G217" s="33"/>
      <c r="H217" s="51">
        <v>255</v>
      </c>
      <c r="I217" s="42"/>
      <c r="J217" s="230"/>
      <c r="K217" s="43">
        <f t="shared" si="10"/>
        <v>255</v>
      </c>
      <c r="L217" s="43">
        <f t="shared" si="8"/>
        <v>29239.439999999999</v>
      </c>
      <c r="M217" s="18" t="s">
        <v>1103</v>
      </c>
      <c r="Q217"/>
      <c r="R217"/>
      <c r="S217"/>
      <c r="T217"/>
      <c r="U217"/>
      <c r="V217"/>
      <c r="W217"/>
    </row>
    <row r="218" spans="1:23" x14ac:dyDescent="0.3">
      <c r="A218" s="12"/>
      <c r="B218" s="105" t="s">
        <v>486</v>
      </c>
      <c r="C218" s="4" t="s">
        <v>475</v>
      </c>
      <c r="D218" s="133" t="s">
        <v>513</v>
      </c>
      <c r="E218" s="120" t="s">
        <v>1099</v>
      </c>
      <c r="F218" s="27"/>
      <c r="G218" s="33"/>
      <c r="H218" s="42"/>
      <c r="I218" s="42"/>
      <c r="J218" s="230">
        <v>-47.6</v>
      </c>
      <c r="K218" s="43">
        <f t="shared" si="10"/>
        <v>-47.6</v>
      </c>
      <c r="L218" s="75">
        <f t="shared" si="8"/>
        <v>29191.84</v>
      </c>
      <c r="M218" s="18" t="s">
        <v>90</v>
      </c>
      <c r="N218" s="56"/>
      <c r="Q218" t="s">
        <v>652</v>
      </c>
      <c r="R218"/>
      <c r="S218"/>
      <c r="T218"/>
      <c r="U218" s="23">
        <f>SUM(U204:U216)</f>
        <v>29191.84</v>
      </c>
      <c r="V218" t="s">
        <v>588</v>
      </c>
      <c r="W218"/>
    </row>
    <row r="219" spans="1:23" x14ac:dyDescent="0.3">
      <c r="A219" s="28" t="s">
        <v>712</v>
      </c>
      <c r="C219" s="4"/>
      <c r="D219" s="112"/>
      <c r="E219" s="120"/>
      <c r="F219" s="52"/>
      <c r="G219" s="33"/>
      <c r="H219" s="42"/>
      <c r="I219" s="42"/>
      <c r="J219" s="230"/>
      <c r="K219" s="43">
        <f t="shared" si="10"/>
        <v>0</v>
      </c>
      <c r="L219" s="43">
        <f t="shared" si="8"/>
        <v>29191.84</v>
      </c>
    </row>
    <row r="220" spans="1:23" x14ac:dyDescent="0.3">
      <c r="A220" s="12"/>
      <c r="B220" s="106" t="s">
        <v>487</v>
      </c>
      <c r="C220" s="213" t="s">
        <v>1092</v>
      </c>
      <c r="D220" s="132" t="s">
        <v>500</v>
      </c>
      <c r="E220" s="121" t="s">
        <v>358</v>
      </c>
      <c r="F220" s="27"/>
      <c r="G220" s="210"/>
      <c r="H220" s="49">
        <v>100</v>
      </c>
      <c r="I220" s="42"/>
      <c r="J220" s="230"/>
      <c r="K220" s="43">
        <f t="shared" si="10"/>
        <v>100</v>
      </c>
      <c r="L220" s="43">
        <f t="shared" si="8"/>
        <v>29291.84</v>
      </c>
      <c r="M220" s="18" t="s">
        <v>412</v>
      </c>
    </row>
    <row r="221" spans="1:23" x14ac:dyDescent="0.3">
      <c r="A221" s="12"/>
      <c r="B221" s="106" t="s">
        <v>487</v>
      </c>
      <c r="C221" s="213" t="s">
        <v>604</v>
      </c>
      <c r="D221" s="132" t="s">
        <v>512</v>
      </c>
      <c r="E221" s="120"/>
      <c r="F221" s="27"/>
      <c r="G221" s="210"/>
      <c r="H221" s="42">
        <v>51</v>
      </c>
      <c r="I221" s="42"/>
      <c r="J221" s="230"/>
      <c r="K221" s="43">
        <f t="shared" si="10"/>
        <v>51</v>
      </c>
      <c r="L221" s="43">
        <f t="shared" si="8"/>
        <v>29342.84</v>
      </c>
      <c r="M221" s="18" t="s">
        <v>412</v>
      </c>
    </row>
    <row r="222" spans="1:23" x14ac:dyDescent="0.3">
      <c r="B222" s="106" t="s">
        <v>487</v>
      </c>
      <c r="C222" s="213" t="s">
        <v>1049</v>
      </c>
      <c r="D222" s="132" t="s">
        <v>500</v>
      </c>
      <c r="E222" s="121" t="s">
        <v>404</v>
      </c>
      <c r="F222" s="27"/>
      <c r="G222" s="210"/>
      <c r="H222" s="49">
        <v>100</v>
      </c>
      <c r="I222" s="42"/>
      <c r="J222" s="230"/>
      <c r="K222" s="43">
        <f t="shared" si="10"/>
        <v>100</v>
      </c>
      <c r="L222" s="43">
        <f t="shared" si="8"/>
        <v>29442.84</v>
      </c>
      <c r="M222" s="18" t="s">
        <v>412</v>
      </c>
      <c r="V222"/>
    </row>
    <row r="223" spans="1:23" x14ac:dyDescent="0.3">
      <c r="B223" s="106" t="s">
        <v>487</v>
      </c>
      <c r="C223" s="213" t="s">
        <v>1049</v>
      </c>
      <c r="D223" s="132" t="s">
        <v>512</v>
      </c>
      <c r="E223" s="213" t="s">
        <v>1096</v>
      </c>
      <c r="F223" s="215"/>
      <c r="H223" s="42">
        <v>350</v>
      </c>
      <c r="I223" s="42"/>
      <c r="J223" s="230"/>
      <c r="K223" s="43">
        <f t="shared" si="10"/>
        <v>350</v>
      </c>
      <c r="L223" s="43">
        <f t="shared" si="8"/>
        <v>29792.84</v>
      </c>
      <c r="M223" s="18" t="s">
        <v>412</v>
      </c>
      <c r="V223"/>
    </row>
    <row r="224" spans="1:23" x14ac:dyDescent="0.3">
      <c r="B224" s="106" t="s">
        <v>487</v>
      </c>
      <c r="C224" s="213" t="s">
        <v>1094</v>
      </c>
      <c r="D224" s="112" t="s">
        <v>504</v>
      </c>
      <c r="E224" s="121" t="s">
        <v>1081</v>
      </c>
      <c r="F224" s="215"/>
      <c r="G224" s="168" t="s">
        <v>1093</v>
      </c>
      <c r="H224" s="216"/>
      <c r="I224" s="42"/>
      <c r="J224" s="233">
        <v>-50</v>
      </c>
      <c r="K224" s="43">
        <f t="shared" si="10"/>
        <v>-50</v>
      </c>
      <c r="L224" s="43">
        <f t="shared" si="8"/>
        <v>29742.84</v>
      </c>
      <c r="M224" s="18" t="s">
        <v>90</v>
      </c>
      <c r="V224"/>
    </row>
    <row r="225" spans="1:24" x14ac:dyDescent="0.3">
      <c r="A225" s="12"/>
      <c r="B225" s="106" t="s">
        <v>487</v>
      </c>
      <c r="C225" s="4" t="s">
        <v>734</v>
      </c>
      <c r="D225" s="133" t="s">
        <v>13</v>
      </c>
      <c r="E225" s="1" t="s">
        <v>315</v>
      </c>
      <c r="F225" s="215"/>
      <c r="G225" s="215"/>
      <c r="H225" s="216"/>
      <c r="I225" s="42"/>
      <c r="J225" s="42">
        <v>-601.52</v>
      </c>
      <c r="K225" s="43">
        <f t="shared" si="10"/>
        <v>-601.52</v>
      </c>
      <c r="L225" s="43">
        <f t="shared" si="8"/>
        <v>29141.32</v>
      </c>
      <c r="M225" s="18" t="s">
        <v>90</v>
      </c>
      <c r="V225"/>
    </row>
    <row r="226" spans="1:24" x14ac:dyDescent="0.3">
      <c r="A226" s="12"/>
      <c r="B226" s="106" t="s">
        <v>487</v>
      </c>
      <c r="C226" s="4" t="s">
        <v>299</v>
      </c>
      <c r="D226" s="133" t="s">
        <v>301</v>
      </c>
      <c r="E226" s="1"/>
      <c r="F226" s="4"/>
      <c r="G226" s="1"/>
      <c r="H226" s="125"/>
      <c r="I226" s="125"/>
      <c r="J226" s="232">
        <v>-35.880000000000003</v>
      </c>
      <c r="K226" s="43">
        <f t="shared" si="10"/>
        <v>-35.880000000000003</v>
      </c>
      <c r="L226" s="43">
        <f t="shared" si="8"/>
        <v>29105.439999999999</v>
      </c>
      <c r="M226" s="18" t="s">
        <v>90</v>
      </c>
      <c r="V226"/>
    </row>
    <row r="227" spans="1:24" x14ac:dyDescent="0.3">
      <c r="A227" s="12"/>
      <c r="B227" s="106" t="s">
        <v>487</v>
      </c>
      <c r="C227" s="4" t="s">
        <v>607</v>
      </c>
      <c r="D227" s="133" t="s">
        <v>11</v>
      </c>
      <c r="E227" s="1"/>
      <c r="F227" s="4"/>
      <c r="G227" s="1"/>
      <c r="H227" s="125"/>
      <c r="I227" s="125"/>
      <c r="J227" s="232">
        <v>-122.98</v>
      </c>
      <c r="K227" s="43">
        <f t="shared" si="10"/>
        <v>-122.98</v>
      </c>
      <c r="L227" s="43">
        <f t="shared" si="8"/>
        <v>28982.46</v>
      </c>
      <c r="M227" s="18" t="s">
        <v>90</v>
      </c>
      <c r="Q227" s="213"/>
      <c r="R227" s="213"/>
      <c r="S227"/>
      <c r="U227" s="125"/>
      <c r="V227"/>
    </row>
    <row r="228" spans="1:24" x14ac:dyDescent="0.3">
      <c r="A228" s="12"/>
      <c r="B228" s="106" t="s">
        <v>487</v>
      </c>
      <c r="C228" s="214" t="s">
        <v>1109</v>
      </c>
      <c r="D228" s="133" t="s">
        <v>12</v>
      </c>
      <c r="E228" s="1"/>
      <c r="F228" s="4"/>
      <c r="G228" s="1"/>
      <c r="H228" s="125"/>
      <c r="I228" s="125"/>
      <c r="J228" s="232">
        <v>-27.98</v>
      </c>
      <c r="K228" s="43">
        <f t="shared" si="10"/>
        <v>-27.98</v>
      </c>
      <c r="L228" s="43">
        <f t="shared" si="8"/>
        <v>28954.48</v>
      </c>
      <c r="M228" s="18" t="s">
        <v>90</v>
      </c>
      <c r="Q228" s="213"/>
      <c r="R228" s="213"/>
      <c r="S228"/>
      <c r="U228" s="125"/>
      <c r="V228"/>
    </row>
    <row r="229" spans="1:24" x14ac:dyDescent="0.3">
      <c r="A229" s="12"/>
      <c r="B229" s="106" t="s">
        <v>487</v>
      </c>
      <c r="C229" s="4" t="s">
        <v>48</v>
      </c>
      <c r="D229" s="133" t="s">
        <v>12</v>
      </c>
      <c r="E229" s="1"/>
      <c r="F229" s="4"/>
      <c r="G229" s="1"/>
      <c r="H229" s="125"/>
      <c r="I229" s="125"/>
      <c r="J229" s="232">
        <v>-71.599999999999994</v>
      </c>
      <c r="K229" s="43">
        <f t="shared" si="10"/>
        <v>-71.599999999999994</v>
      </c>
      <c r="L229" s="43">
        <f t="shared" si="8"/>
        <v>28882.880000000001</v>
      </c>
      <c r="M229" s="18" t="s">
        <v>90</v>
      </c>
      <c r="Q229" s="4"/>
      <c r="R229" s="4"/>
      <c r="S229"/>
      <c r="U229" s="125"/>
      <c r="V229"/>
    </row>
    <row r="230" spans="1:24" x14ac:dyDescent="0.3">
      <c r="A230" s="12"/>
      <c r="B230" s="106" t="s">
        <v>487</v>
      </c>
      <c r="C230" s="4" t="s">
        <v>1068</v>
      </c>
      <c r="D230" s="133" t="s">
        <v>12</v>
      </c>
      <c r="E230" s="213" t="s">
        <v>748</v>
      </c>
      <c r="F230" s="215"/>
      <c r="G230" s="214"/>
      <c r="H230" s="215"/>
      <c r="I230" s="215"/>
      <c r="J230" s="228">
        <v>-405</v>
      </c>
      <c r="K230" s="43">
        <f t="shared" si="10"/>
        <v>-405</v>
      </c>
      <c r="L230" s="43">
        <f t="shared" si="8"/>
        <v>28477.88</v>
      </c>
      <c r="M230" s="18" t="s">
        <v>1131</v>
      </c>
      <c r="Q230" s="4"/>
      <c r="R230" s="4"/>
      <c r="S230"/>
      <c r="U230" s="125"/>
      <c r="V230"/>
    </row>
    <row r="231" spans="1:24" x14ac:dyDescent="0.3">
      <c r="A231" s="12"/>
      <c r="B231" s="106" t="s">
        <v>487</v>
      </c>
      <c r="C231" s="4" t="s">
        <v>58</v>
      </c>
      <c r="D231" s="133" t="s">
        <v>9</v>
      </c>
      <c r="E231" s="120" t="s">
        <v>486</v>
      </c>
      <c r="F231" s="215"/>
      <c r="G231" s="214"/>
      <c r="H231" s="215"/>
      <c r="I231" s="215"/>
      <c r="J231" s="228">
        <v>-128.13999999999999</v>
      </c>
      <c r="K231" s="43">
        <f t="shared" si="10"/>
        <v>-128.13999999999999</v>
      </c>
      <c r="L231" s="43">
        <f t="shared" si="8"/>
        <v>28349.74</v>
      </c>
      <c r="M231" s="18" t="s">
        <v>90</v>
      </c>
      <c r="Q231" s="30" t="s">
        <v>1128</v>
      </c>
      <c r="R231" s="30"/>
      <c r="S231" s="30"/>
      <c r="T231"/>
      <c r="U231"/>
      <c r="V231"/>
      <c r="W231"/>
    </row>
    <row r="232" spans="1:24" x14ac:dyDescent="0.3">
      <c r="B232" s="106" t="s">
        <v>487</v>
      </c>
      <c r="C232" s="4" t="s">
        <v>1102</v>
      </c>
      <c r="D232" s="133" t="s">
        <v>513</v>
      </c>
      <c r="E232" s="120" t="s">
        <v>692</v>
      </c>
      <c r="F232" s="27"/>
      <c r="G232" s="120"/>
      <c r="H232" s="51">
        <v>-8</v>
      </c>
      <c r="I232" s="42"/>
      <c r="J232" s="42"/>
      <c r="K232" s="43">
        <f t="shared" si="10"/>
        <v>-8</v>
      </c>
      <c r="L232" s="43">
        <f t="shared" si="8"/>
        <v>28341.74</v>
      </c>
      <c r="M232" s="18" t="s">
        <v>90</v>
      </c>
      <c r="Q232"/>
      <c r="R232"/>
      <c r="S232"/>
      <c r="T232"/>
      <c r="U232"/>
      <c r="V232"/>
    </row>
    <row r="233" spans="1:24" x14ac:dyDescent="0.3">
      <c r="A233" s="12"/>
      <c r="B233" s="106" t="s">
        <v>487</v>
      </c>
      <c r="C233" s="4" t="s">
        <v>392</v>
      </c>
      <c r="D233" s="133" t="s">
        <v>518</v>
      </c>
      <c r="E233" s="120" t="s">
        <v>1105</v>
      </c>
      <c r="F233" s="27"/>
      <c r="G233" s="120"/>
      <c r="H233" s="42"/>
      <c r="I233" s="42"/>
      <c r="J233" s="42">
        <v>-72</v>
      </c>
      <c r="K233" s="43">
        <f t="shared" si="10"/>
        <v>-72</v>
      </c>
      <c r="L233" s="43">
        <f t="shared" si="8"/>
        <v>28269.74</v>
      </c>
      <c r="M233" s="18" t="s">
        <v>90</v>
      </c>
      <c r="Q233" t="s">
        <v>584</v>
      </c>
      <c r="R233"/>
      <c r="S233"/>
      <c r="T233"/>
      <c r="U233">
        <v>29315.24</v>
      </c>
      <c r="V233"/>
    </row>
    <row r="234" spans="1:24" x14ac:dyDescent="0.3">
      <c r="A234" s="12"/>
      <c r="B234" s="106" t="s">
        <v>487</v>
      </c>
      <c r="C234" s="213" t="s">
        <v>1110</v>
      </c>
      <c r="D234" s="132" t="s">
        <v>512</v>
      </c>
      <c r="E234" s="120"/>
      <c r="F234" s="27"/>
      <c r="G234" s="120"/>
      <c r="H234" s="42">
        <v>50</v>
      </c>
      <c r="I234" s="42"/>
      <c r="J234" s="42"/>
      <c r="K234" s="43">
        <f>H234+J234</f>
        <v>50</v>
      </c>
      <c r="L234" s="43">
        <f>L233+K234</f>
        <v>28319.74</v>
      </c>
      <c r="M234" s="18" t="s">
        <v>534</v>
      </c>
      <c r="Q234"/>
      <c r="R234"/>
      <c r="S234"/>
      <c r="T234"/>
      <c r="U234"/>
      <c r="V234"/>
    </row>
    <row r="235" spans="1:24" x14ac:dyDescent="0.3">
      <c r="A235" s="12"/>
      <c r="B235" s="106" t="s">
        <v>487</v>
      </c>
      <c r="C235" s="213" t="s">
        <v>1111</v>
      </c>
      <c r="D235" s="132" t="s">
        <v>512</v>
      </c>
      <c r="E235" s="120"/>
      <c r="F235" s="27"/>
      <c r="G235" s="120"/>
      <c r="H235" s="42">
        <v>48</v>
      </c>
      <c r="I235" s="42"/>
      <c r="J235" s="42"/>
      <c r="K235" s="43">
        <f>H235+J235</f>
        <v>48</v>
      </c>
      <c r="L235" s="43">
        <f>L234+K235</f>
        <v>28367.74</v>
      </c>
      <c r="M235" s="18" t="s">
        <v>534</v>
      </c>
      <c r="Q235" t="s">
        <v>650</v>
      </c>
      <c r="R235"/>
      <c r="S235"/>
      <c r="T235" s="125"/>
      <c r="U235"/>
      <c r="V235"/>
    </row>
    <row r="236" spans="1:24" x14ac:dyDescent="0.3">
      <c r="A236" s="12"/>
      <c r="B236" s="106" t="s">
        <v>487</v>
      </c>
      <c r="C236" s="213" t="s">
        <v>293</v>
      </c>
      <c r="D236" s="132" t="s">
        <v>512</v>
      </c>
      <c r="E236" s="120"/>
      <c r="F236" s="27"/>
      <c r="G236" s="33"/>
      <c r="H236" s="42">
        <v>30</v>
      </c>
      <c r="I236" s="42"/>
      <c r="J236" s="42"/>
      <c r="K236" s="43">
        <f>H236+J236</f>
        <v>30</v>
      </c>
      <c r="L236" s="43">
        <f>L235+K236</f>
        <v>28397.74</v>
      </c>
      <c r="M236" s="18" t="s">
        <v>534</v>
      </c>
      <c r="V236"/>
    </row>
    <row r="237" spans="1:24" x14ac:dyDescent="0.3">
      <c r="A237" s="12"/>
      <c r="B237" s="106" t="s">
        <v>487</v>
      </c>
      <c r="C237" s="4" t="s">
        <v>1196</v>
      </c>
      <c r="D237" s="132" t="s">
        <v>512</v>
      </c>
      <c r="E237" s="120"/>
      <c r="F237" s="128"/>
      <c r="G237" s="120"/>
      <c r="H237" s="42">
        <v>51</v>
      </c>
      <c r="I237" s="42"/>
      <c r="J237" s="42"/>
      <c r="K237" s="43">
        <f t="shared" si="10"/>
        <v>51</v>
      </c>
      <c r="L237" s="43">
        <f t="shared" si="8"/>
        <v>28448.74</v>
      </c>
      <c r="M237" s="18" t="s">
        <v>412</v>
      </c>
      <c r="Q237" t="s">
        <v>586</v>
      </c>
      <c r="R237"/>
      <c r="S237"/>
      <c r="T237" s="125"/>
      <c r="U237"/>
      <c r="V237"/>
    </row>
    <row r="238" spans="1:24" x14ac:dyDescent="0.3">
      <c r="A238" s="12"/>
      <c r="B238" s="106" t="s">
        <v>487</v>
      </c>
      <c r="C238" s="4" t="s">
        <v>1196</v>
      </c>
      <c r="D238" s="132" t="s">
        <v>500</v>
      </c>
      <c r="E238" s="121" t="s">
        <v>414</v>
      </c>
      <c r="F238" s="128"/>
      <c r="G238" s="210"/>
      <c r="H238" s="49">
        <v>50</v>
      </c>
      <c r="I238" s="42"/>
      <c r="J238" s="42"/>
      <c r="K238" s="43">
        <f t="shared" si="10"/>
        <v>50</v>
      </c>
      <c r="L238" s="43">
        <f t="shared" si="8"/>
        <v>28498.74</v>
      </c>
      <c r="M238" s="18" t="s">
        <v>412</v>
      </c>
      <c r="Q238">
        <v>500763</v>
      </c>
      <c r="R238"/>
      <c r="S238"/>
      <c r="T238"/>
      <c r="U238">
        <v>-50</v>
      </c>
      <c r="V238"/>
    </row>
    <row r="239" spans="1:24" x14ac:dyDescent="0.3">
      <c r="A239" s="12"/>
      <c r="B239" s="106" t="s">
        <v>487</v>
      </c>
      <c r="C239" s="4" t="s">
        <v>762</v>
      </c>
      <c r="D239" s="132"/>
      <c r="E239" s="120"/>
      <c r="F239" s="128"/>
      <c r="G239" s="33"/>
      <c r="H239" s="42"/>
      <c r="I239" s="42"/>
      <c r="J239" s="42"/>
      <c r="K239" s="43">
        <f t="shared" si="10"/>
        <v>0</v>
      </c>
      <c r="L239" s="43">
        <f t="shared" si="8"/>
        <v>28498.74</v>
      </c>
      <c r="M239" s="18" t="s">
        <v>90</v>
      </c>
      <c r="Q239" t="s">
        <v>1100</v>
      </c>
      <c r="R239"/>
      <c r="S239"/>
      <c r="T239" s="125"/>
      <c r="U239" s="125">
        <v>-405</v>
      </c>
      <c r="V239"/>
      <c r="W239" t="s">
        <v>90</v>
      </c>
      <c r="X239"/>
    </row>
    <row r="240" spans="1:24" x14ac:dyDescent="0.3">
      <c r="B240" s="106" t="s">
        <v>487</v>
      </c>
      <c r="C240" s="1" t="s">
        <v>1106</v>
      </c>
      <c r="D240" s="132" t="s">
        <v>512</v>
      </c>
      <c r="E240" s="120"/>
      <c r="F240" s="27"/>
      <c r="G240" s="120"/>
      <c r="H240" s="42">
        <v>51</v>
      </c>
      <c r="I240" s="42"/>
      <c r="J240" s="42"/>
      <c r="K240" s="43">
        <f t="shared" si="10"/>
        <v>51</v>
      </c>
      <c r="L240" s="43">
        <f t="shared" si="8"/>
        <v>28549.74</v>
      </c>
      <c r="M240" s="18" t="s">
        <v>412</v>
      </c>
      <c r="Q240"/>
      <c r="R240"/>
      <c r="S240"/>
      <c r="T240"/>
      <c r="U240"/>
      <c r="V240"/>
    </row>
    <row r="241" spans="1:23" x14ac:dyDescent="0.3">
      <c r="B241" s="106" t="s">
        <v>487</v>
      </c>
      <c r="C241" s="1" t="s">
        <v>1106</v>
      </c>
      <c r="D241" s="132" t="s">
        <v>500</v>
      </c>
      <c r="E241" s="121" t="s">
        <v>1108</v>
      </c>
      <c r="F241" s="27"/>
      <c r="G241" s="210"/>
      <c r="H241" s="49">
        <v>50</v>
      </c>
      <c r="I241" s="42"/>
      <c r="J241" s="42"/>
      <c r="K241" s="43">
        <f t="shared" si="10"/>
        <v>50</v>
      </c>
      <c r="L241" s="43">
        <f t="shared" si="8"/>
        <v>28599.74</v>
      </c>
      <c r="M241" s="18" t="s">
        <v>412</v>
      </c>
      <c r="Q241"/>
      <c r="R241"/>
      <c r="S241"/>
      <c r="T241"/>
      <c r="U241"/>
      <c r="V241"/>
    </row>
    <row r="242" spans="1:23" x14ac:dyDescent="0.3">
      <c r="B242" s="106" t="s">
        <v>487</v>
      </c>
      <c r="C242" s="4" t="s">
        <v>1107</v>
      </c>
      <c r="D242" s="132" t="s">
        <v>512</v>
      </c>
      <c r="E242" s="120"/>
      <c r="F242" s="52"/>
      <c r="G242" s="33"/>
      <c r="H242" s="42">
        <v>59.5</v>
      </c>
      <c r="I242" s="42"/>
      <c r="J242" s="42"/>
      <c r="K242" s="43">
        <f t="shared" si="10"/>
        <v>59.5</v>
      </c>
      <c r="L242" s="43">
        <f t="shared" si="8"/>
        <v>28659.24</v>
      </c>
      <c r="M242" s="18" t="s">
        <v>90</v>
      </c>
    </row>
    <row r="243" spans="1:23" x14ac:dyDescent="0.3">
      <c r="B243" s="106" t="s">
        <v>487</v>
      </c>
      <c r="C243" s="213" t="s">
        <v>240</v>
      </c>
      <c r="D243" s="132" t="s">
        <v>512</v>
      </c>
      <c r="E243" s="120"/>
      <c r="F243" s="27"/>
      <c r="G243" s="120"/>
      <c r="H243" s="42">
        <v>85</v>
      </c>
      <c r="I243" s="42"/>
      <c r="J243" s="42"/>
      <c r="K243" s="43">
        <f t="shared" si="10"/>
        <v>85</v>
      </c>
      <c r="L243" s="43">
        <f t="shared" si="8"/>
        <v>28744.240000000002</v>
      </c>
      <c r="M243" s="18" t="s">
        <v>534</v>
      </c>
    </row>
    <row r="244" spans="1:23" x14ac:dyDescent="0.3">
      <c r="B244" s="106" t="s">
        <v>487</v>
      </c>
      <c r="C244" s="213" t="s">
        <v>1112</v>
      </c>
      <c r="D244" s="132" t="s">
        <v>512</v>
      </c>
      <c r="E244" s="33"/>
      <c r="F244" s="52"/>
      <c r="G244" s="33"/>
      <c r="H244" s="42">
        <v>12</v>
      </c>
      <c r="I244" s="42"/>
      <c r="J244" s="42"/>
      <c r="K244" s="43">
        <f t="shared" si="10"/>
        <v>12</v>
      </c>
      <c r="L244" s="43">
        <f t="shared" ref="L244:L250" si="11">L243+K244</f>
        <v>28756.240000000002</v>
      </c>
      <c r="M244" s="18" t="s">
        <v>534</v>
      </c>
      <c r="Q244" t="s">
        <v>652</v>
      </c>
      <c r="R244"/>
      <c r="S244"/>
      <c r="T244"/>
      <c r="U244" s="23">
        <f>SUM(U233:U239)</f>
        <v>28860.240000000002</v>
      </c>
      <c r="V244" t="s">
        <v>588</v>
      </c>
    </row>
    <row r="245" spans="1:23" x14ac:dyDescent="0.3">
      <c r="B245" s="106" t="s">
        <v>487</v>
      </c>
      <c r="C245" s="213" t="s">
        <v>293</v>
      </c>
      <c r="D245" s="132" t="s">
        <v>512</v>
      </c>
      <c r="E245" s="33"/>
      <c r="F245" s="52"/>
      <c r="G245" s="33"/>
      <c r="H245" s="42">
        <v>104</v>
      </c>
      <c r="I245" s="42"/>
      <c r="J245" s="42"/>
      <c r="K245" s="43">
        <f t="shared" si="10"/>
        <v>104</v>
      </c>
      <c r="L245" s="75">
        <f t="shared" si="11"/>
        <v>28860.240000000002</v>
      </c>
      <c r="M245" s="18" t="s">
        <v>534</v>
      </c>
    </row>
    <row r="246" spans="1:23" x14ac:dyDescent="0.3">
      <c r="B246" s="105"/>
      <c r="C246" s="4"/>
      <c r="D246" s="112"/>
      <c r="E246" s="168"/>
      <c r="F246" s="27"/>
      <c r="G246" s="33"/>
      <c r="H246" s="42"/>
      <c r="I246" s="42"/>
      <c r="J246" s="42"/>
      <c r="K246" s="43">
        <f t="shared" si="10"/>
        <v>0</v>
      </c>
      <c r="L246" s="43">
        <f t="shared" si="11"/>
        <v>28860.240000000002</v>
      </c>
    </row>
    <row r="247" spans="1:23" x14ac:dyDescent="0.3">
      <c r="A247" s="28" t="s">
        <v>354</v>
      </c>
      <c r="B247" s="105" t="s">
        <v>488</v>
      </c>
      <c r="C247" s="213" t="s">
        <v>574</v>
      </c>
      <c r="D247" s="132" t="s">
        <v>512</v>
      </c>
      <c r="E247" s="33"/>
      <c r="F247" s="27"/>
      <c r="G247" s="33"/>
      <c r="H247" s="42">
        <v>34</v>
      </c>
      <c r="I247" s="42"/>
      <c r="J247" s="170"/>
      <c r="K247" s="43">
        <f t="shared" si="10"/>
        <v>34</v>
      </c>
      <c r="L247" s="43">
        <f t="shared" si="11"/>
        <v>28894.240000000002</v>
      </c>
      <c r="M247" s="18" t="s">
        <v>90</v>
      </c>
    </row>
    <row r="248" spans="1:23" x14ac:dyDescent="0.3">
      <c r="A248" s="12"/>
      <c r="B248" s="105" t="s">
        <v>488</v>
      </c>
      <c r="C248" s="4" t="s">
        <v>178</v>
      </c>
      <c r="D248" s="133" t="s">
        <v>513</v>
      </c>
      <c r="E248" s="120" t="s">
        <v>1113</v>
      </c>
      <c r="F248" s="27"/>
      <c r="G248" s="33"/>
      <c r="H248" s="51">
        <v>529.87</v>
      </c>
      <c r="I248" s="42"/>
      <c r="J248" s="42"/>
      <c r="K248" s="43">
        <f t="shared" si="10"/>
        <v>529.87</v>
      </c>
      <c r="L248" s="43">
        <f t="shared" si="11"/>
        <v>29424.11</v>
      </c>
      <c r="M248" s="16" t="s">
        <v>90</v>
      </c>
    </row>
    <row r="249" spans="1:23" x14ac:dyDescent="0.3">
      <c r="A249" s="26"/>
      <c r="B249" s="105" t="s">
        <v>488</v>
      </c>
      <c r="C249" s="4" t="s">
        <v>1115</v>
      </c>
      <c r="D249" s="132" t="s">
        <v>512</v>
      </c>
      <c r="E249" s="213" t="s">
        <v>1114</v>
      </c>
      <c r="F249" s="215"/>
      <c r="G249" s="214"/>
      <c r="H249" s="215">
        <v>140</v>
      </c>
      <c r="I249" s="215"/>
      <c r="J249" s="216"/>
      <c r="K249" s="43">
        <f t="shared" si="10"/>
        <v>140</v>
      </c>
      <c r="L249" s="43">
        <f t="shared" si="11"/>
        <v>29564.11</v>
      </c>
      <c r="M249" s="16" t="s">
        <v>90</v>
      </c>
    </row>
    <row r="250" spans="1:23" x14ac:dyDescent="0.3">
      <c r="B250" s="105" t="s">
        <v>488</v>
      </c>
      <c r="C250" s="4" t="s">
        <v>299</v>
      </c>
      <c r="D250" s="133" t="s">
        <v>301</v>
      </c>
      <c r="E250" s="213"/>
      <c r="F250" s="213"/>
      <c r="G250" s="214"/>
      <c r="H250" s="215"/>
      <c r="I250" s="215"/>
      <c r="J250" s="232">
        <v>-37.68</v>
      </c>
      <c r="K250" s="43">
        <f t="shared" si="10"/>
        <v>-37.68</v>
      </c>
      <c r="L250" s="43">
        <f t="shared" si="11"/>
        <v>29526.43</v>
      </c>
      <c r="M250" s="16" t="s">
        <v>90</v>
      </c>
      <c r="N250" s="18"/>
    </row>
    <row r="251" spans="1:23" x14ac:dyDescent="0.3">
      <c r="A251" s="12"/>
      <c r="B251" s="105" t="s">
        <v>488</v>
      </c>
      <c r="C251" s="4" t="s">
        <v>607</v>
      </c>
      <c r="D251" s="133" t="s">
        <v>11</v>
      </c>
      <c r="E251" s="213"/>
      <c r="F251" s="213"/>
      <c r="G251" s="214"/>
      <c r="H251" s="215"/>
      <c r="I251" s="215"/>
      <c r="J251" s="232">
        <v>0</v>
      </c>
      <c r="K251" s="43">
        <f t="shared" si="10"/>
        <v>0</v>
      </c>
      <c r="L251" s="43">
        <f t="shared" ref="L251:L323" si="12">L250+K251</f>
        <v>29526.43</v>
      </c>
      <c r="M251" s="16"/>
      <c r="U251" s="43"/>
      <c r="V251"/>
    </row>
    <row r="252" spans="1:23" x14ac:dyDescent="0.3">
      <c r="A252" s="12"/>
      <c r="B252" s="105" t="s">
        <v>488</v>
      </c>
      <c r="C252" s="214" t="s">
        <v>1109</v>
      </c>
      <c r="D252" s="133" t="s">
        <v>12</v>
      </c>
      <c r="E252" s="213"/>
      <c r="F252" s="215"/>
      <c r="G252" s="214"/>
      <c r="H252" s="215"/>
      <c r="I252" s="215"/>
      <c r="J252" s="232">
        <v>-27.98</v>
      </c>
      <c r="K252" s="43">
        <f t="shared" si="10"/>
        <v>-27.98</v>
      </c>
      <c r="L252" s="43">
        <f t="shared" si="12"/>
        <v>29498.45</v>
      </c>
      <c r="M252" s="18" t="s">
        <v>90</v>
      </c>
      <c r="S252"/>
      <c r="U252" s="43"/>
      <c r="V252"/>
      <c r="W252"/>
    </row>
    <row r="253" spans="1:23" x14ac:dyDescent="0.3">
      <c r="A253" s="29"/>
      <c r="B253" s="105" t="s">
        <v>488</v>
      </c>
      <c r="C253" s="4" t="s">
        <v>48</v>
      </c>
      <c r="D253" s="133" t="s">
        <v>12</v>
      </c>
      <c r="E253" s="213"/>
      <c r="F253" s="215"/>
      <c r="G253" s="214"/>
      <c r="H253" s="215"/>
      <c r="I253" s="215"/>
      <c r="J253" s="232">
        <v>-71.599999999999994</v>
      </c>
      <c r="K253" s="43">
        <f t="shared" si="10"/>
        <v>-71.599999999999994</v>
      </c>
      <c r="L253" s="43">
        <f t="shared" si="12"/>
        <v>29426.850000000002</v>
      </c>
      <c r="M253" s="18" t="s">
        <v>90</v>
      </c>
      <c r="R253"/>
      <c r="U253"/>
      <c r="V253" s="57"/>
      <c r="W253"/>
    </row>
    <row r="254" spans="1:23" x14ac:dyDescent="0.3">
      <c r="A254" s="29"/>
      <c r="B254" s="105" t="s">
        <v>488</v>
      </c>
      <c r="C254" s="4" t="s">
        <v>1068</v>
      </c>
      <c r="D254" s="133" t="s">
        <v>12</v>
      </c>
      <c r="E254" s="213" t="s">
        <v>354</v>
      </c>
      <c r="F254" s="215"/>
      <c r="G254" s="214"/>
      <c r="H254" s="215"/>
      <c r="I254" s="215"/>
      <c r="J254" s="228">
        <v>-421.2</v>
      </c>
      <c r="K254" s="43">
        <f t="shared" si="10"/>
        <v>-421.2</v>
      </c>
      <c r="L254" s="43">
        <f t="shared" si="12"/>
        <v>29005.65</v>
      </c>
      <c r="M254" s="18" t="s">
        <v>90</v>
      </c>
      <c r="W254"/>
    </row>
    <row r="255" spans="1:23" x14ac:dyDescent="0.3">
      <c r="B255" s="105" t="s">
        <v>488</v>
      </c>
      <c r="C255" s="4" t="s">
        <v>58</v>
      </c>
      <c r="D255" s="133" t="s">
        <v>9</v>
      </c>
      <c r="E255" s="213" t="s">
        <v>748</v>
      </c>
      <c r="F255" s="215"/>
      <c r="G255" s="214"/>
      <c r="H255" s="215"/>
      <c r="I255" s="215"/>
      <c r="J255" s="235">
        <v>-99.27</v>
      </c>
      <c r="K255" s="43">
        <f t="shared" si="10"/>
        <v>-99.27</v>
      </c>
      <c r="L255" s="43">
        <f t="shared" si="12"/>
        <v>28906.38</v>
      </c>
      <c r="M255" s="18" t="s">
        <v>90</v>
      </c>
      <c r="Q255" s="30" t="s">
        <v>1136</v>
      </c>
      <c r="R255" s="30"/>
      <c r="S255" s="30"/>
      <c r="T255"/>
      <c r="U255"/>
      <c r="V255"/>
    </row>
    <row r="256" spans="1:23" x14ac:dyDescent="0.3">
      <c r="A256" s="12"/>
      <c r="B256" s="105" t="s">
        <v>488</v>
      </c>
      <c r="C256" s="4" t="s">
        <v>234</v>
      </c>
      <c r="D256" s="133" t="s">
        <v>12</v>
      </c>
      <c r="E256" s="213" t="s">
        <v>1116</v>
      </c>
      <c r="F256" s="215"/>
      <c r="G256" s="214" t="s">
        <v>464</v>
      </c>
      <c r="H256" s="215"/>
      <c r="I256" s="215"/>
      <c r="J256" s="235">
        <v>-142.51</v>
      </c>
      <c r="K256" s="43">
        <f t="shared" si="10"/>
        <v>-142.51</v>
      </c>
      <c r="L256" s="43">
        <f t="shared" si="12"/>
        <v>28763.870000000003</v>
      </c>
      <c r="M256" s="18" t="s">
        <v>90</v>
      </c>
      <c r="Q256"/>
      <c r="R256"/>
      <c r="S256"/>
      <c r="T256"/>
      <c r="U256"/>
      <c r="V256"/>
    </row>
    <row r="257" spans="1:24" x14ac:dyDescent="0.3">
      <c r="A257" s="12"/>
      <c r="B257" s="105" t="s">
        <v>488</v>
      </c>
      <c r="C257" s="4" t="s">
        <v>986</v>
      </c>
      <c r="D257" s="112" t="s">
        <v>504</v>
      </c>
      <c r="E257" s="121" t="s">
        <v>1117</v>
      </c>
      <c r="F257" s="215"/>
      <c r="G257" s="231" t="s">
        <v>1118</v>
      </c>
      <c r="H257" s="215"/>
      <c r="I257" s="215"/>
      <c r="J257" s="236">
        <v>-120</v>
      </c>
      <c r="K257" s="43">
        <f t="shared" si="10"/>
        <v>-120</v>
      </c>
      <c r="L257" s="43">
        <f t="shared" si="12"/>
        <v>28643.870000000003</v>
      </c>
      <c r="M257" s="18" t="s">
        <v>90</v>
      </c>
      <c r="Q257" t="s">
        <v>584</v>
      </c>
      <c r="R257"/>
      <c r="S257"/>
      <c r="T257"/>
      <c r="U257">
        <v>26851.37</v>
      </c>
      <c r="V257"/>
      <c r="W257"/>
    </row>
    <row r="258" spans="1:24" x14ac:dyDescent="0.3">
      <c r="A258" s="12"/>
      <c r="B258" s="105" t="s">
        <v>488</v>
      </c>
      <c r="C258" s="4" t="s">
        <v>1120</v>
      </c>
      <c r="D258" s="133" t="s">
        <v>518</v>
      </c>
      <c r="E258" s="213" t="s">
        <v>1119</v>
      </c>
      <c r="F258" s="215"/>
      <c r="G258" s="231" t="s">
        <v>1121</v>
      </c>
      <c r="H258" s="215"/>
      <c r="I258" s="215"/>
      <c r="J258" s="235">
        <v>-2010</v>
      </c>
      <c r="K258" s="43">
        <f t="shared" si="10"/>
        <v>-2010</v>
      </c>
      <c r="L258" s="43">
        <f t="shared" si="12"/>
        <v>26633.870000000003</v>
      </c>
      <c r="M258" s="18" t="s">
        <v>90</v>
      </c>
      <c r="Q258"/>
      <c r="R258"/>
      <c r="S258"/>
      <c r="T258"/>
      <c r="U258"/>
      <c r="V258"/>
    </row>
    <row r="259" spans="1:24" x14ac:dyDescent="0.3">
      <c r="A259" s="12"/>
      <c r="B259" s="105" t="s">
        <v>488</v>
      </c>
      <c r="C259" s="4" t="s">
        <v>1106</v>
      </c>
      <c r="D259" s="112" t="s">
        <v>504</v>
      </c>
      <c r="E259" s="121" t="s">
        <v>1123</v>
      </c>
      <c r="F259" s="215"/>
      <c r="G259" s="231" t="s">
        <v>1122</v>
      </c>
      <c r="H259" s="215"/>
      <c r="I259" s="215"/>
      <c r="J259" s="236">
        <v>-50</v>
      </c>
      <c r="K259" s="43">
        <f t="shared" si="10"/>
        <v>-50</v>
      </c>
      <c r="L259" s="43">
        <f t="shared" si="12"/>
        <v>26583.870000000003</v>
      </c>
      <c r="M259" s="18" t="s">
        <v>1231</v>
      </c>
      <c r="Q259" t="s">
        <v>650</v>
      </c>
      <c r="R259"/>
      <c r="S259"/>
      <c r="T259" s="125"/>
      <c r="U259"/>
      <c r="V259"/>
    </row>
    <row r="260" spans="1:24" x14ac:dyDescent="0.3">
      <c r="A260" s="12"/>
      <c r="B260" s="105" t="s">
        <v>488</v>
      </c>
      <c r="C260" s="4" t="s">
        <v>1125</v>
      </c>
      <c r="D260" s="112" t="s">
        <v>504</v>
      </c>
      <c r="E260" s="121" t="s">
        <v>1126</v>
      </c>
      <c r="F260" s="215"/>
      <c r="G260" s="231" t="s">
        <v>1124</v>
      </c>
      <c r="H260" s="215"/>
      <c r="I260" s="215"/>
      <c r="J260" s="236">
        <v>-100</v>
      </c>
      <c r="K260" s="43">
        <f t="shared" si="10"/>
        <v>-100</v>
      </c>
      <c r="L260" s="43">
        <f t="shared" si="12"/>
        <v>26483.870000000003</v>
      </c>
      <c r="M260" s="18" t="s">
        <v>90</v>
      </c>
      <c r="V260"/>
    </row>
    <row r="261" spans="1:24" x14ac:dyDescent="0.3">
      <c r="A261" s="12"/>
      <c r="B261" s="105" t="s">
        <v>488</v>
      </c>
      <c r="C261" s="4" t="s">
        <v>58</v>
      </c>
      <c r="D261" s="112" t="s">
        <v>8</v>
      </c>
      <c r="E261" s="213" t="s">
        <v>1127</v>
      </c>
      <c r="F261" s="215"/>
      <c r="G261" s="214"/>
      <c r="H261" s="215"/>
      <c r="I261" s="215"/>
      <c r="J261" s="235">
        <v>-532.73</v>
      </c>
      <c r="K261" s="43">
        <f t="shared" si="10"/>
        <v>-532.73</v>
      </c>
      <c r="L261" s="43">
        <f t="shared" si="12"/>
        <v>25951.140000000003</v>
      </c>
      <c r="M261" s="18" t="s">
        <v>90</v>
      </c>
      <c r="Q261" t="s">
        <v>586</v>
      </c>
      <c r="R261"/>
      <c r="S261"/>
      <c r="T261" s="125"/>
      <c r="U261"/>
      <c r="V261"/>
    </row>
    <row r="262" spans="1:24" x14ac:dyDescent="0.3">
      <c r="A262" s="12"/>
      <c r="B262" s="105" t="s">
        <v>488</v>
      </c>
      <c r="C262" s="1" t="s">
        <v>655</v>
      </c>
      <c r="D262" s="112" t="s">
        <v>504</v>
      </c>
      <c r="E262" s="121" t="s">
        <v>1137</v>
      </c>
      <c r="F262" s="215"/>
      <c r="G262" s="231" t="s">
        <v>1132</v>
      </c>
      <c r="H262" s="215"/>
      <c r="I262" s="215"/>
      <c r="J262" s="236">
        <v>-50</v>
      </c>
      <c r="K262" s="43">
        <f t="shared" si="10"/>
        <v>-50</v>
      </c>
      <c r="L262" s="43">
        <f t="shared" ref="L262:L271" si="13">L261+K262</f>
        <v>25901.140000000003</v>
      </c>
      <c r="M262" s="18" t="s">
        <v>90</v>
      </c>
      <c r="Q262">
        <v>500763</v>
      </c>
      <c r="R262"/>
      <c r="S262"/>
      <c r="T262"/>
      <c r="U262">
        <v>-50</v>
      </c>
      <c r="V262"/>
    </row>
    <row r="263" spans="1:24" x14ac:dyDescent="0.3">
      <c r="A263" s="12"/>
      <c r="B263" s="105" t="s">
        <v>488</v>
      </c>
      <c r="C263" s="1" t="s">
        <v>1133</v>
      </c>
      <c r="D263" s="132" t="s">
        <v>512</v>
      </c>
      <c r="E263" s="213"/>
      <c r="F263" s="215"/>
      <c r="G263" s="214"/>
      <c r="H263" s="215">
        <v>8.5</v>
      </c>
      <c r="I263" s="215"/>
      <c r="J263" s="226"/>
      <c r="K263" s="43">
        <f t="shared" si="10"/>
        <v>8.5</v>
      </c>
      <c r="L263" s="43">
        <f t="shared" si="13"/>
        <v>25909.640000000003</v>
      </c>
      <c r="M263" s="18" t="s">
        <v>90</v>
      </c>
      <c r="Q263" t="s">
        <v>11</v>
      </c>
      <c r="R263"/>
      <c r="S263"/>
      <c r="T263" s="125"/>
      <c r="U263" s="125">
        <v>0</v>
      </c>
      <c r="V263"/>
    </row>
    <row r="264" spans="1:24" x14ac:dyDescent="0.3">
      <c r="A264" s="12"/>
      <c r="B264" s="105" t="s">
        <v>488</v>
      </c>
      <c r="C264" s="1" t="s">
        <v>1115</v>
      </c>
      <c r="D264" s="132" t="s">
        <v>512</v>
      </c>
      <c r="E264" s="213"/>
      <c r="F264" s="215"/>
      <c r="G264" s="214"/>
      <c r="H264" s="215">
        <v>50</v>
      </c>
      <c r="I264" s="215"/>
      <c r="J264" s="226"/>
      <c r="K264" s="43">
        <f t="shared" ref="K264:K272" si="14">H264+J264</f>
        <v>50</v>
      </c>
      <c r="L264" s="43">
        <f t="shared" si="13"/>
        <v>25959.640000000003</v>
      </c>
      <c r="M264" s="18" t="s">
        <v>90</v>
      </c>
      <c r="Q264">
        <v>500781</v>
      </c>
      <c r="R264"/>
      <c r="S264"/>
      <c r="T264"/>
      <c r="U264">
        <v>-50</v>
      </c>
      <c r="V264"/>
    </row>
    <row r="265" spans="1:24" x14ac:dyDescent="0.3">
      <c r="A265" s="12"/>
      <c r="B265" s="105" t="s">
        <v>488</v>
      </c>
      <c r="C265" s="1" t="s">
        <v>1134</v>
      </c>
      <c r="D265" s="132" t="s">
        <v>512</v>
      </c>
      <c r="E265" s="213"/>
      <c r="F265" s="215"/>
      <c r="G265" s="214"/>
      <c r="H265" s="215">
        <v>51</v>
      </c>
      <c r="I265" s="215"/>
      <c r="J265" s="216"/>
      <c r="K265" s="43">
        <f t="shared" si="14"/>
        <v>51</v>
      </c>
      <c r="L265" s="43">
        <f t="shared" si="13"/>
        <v>26010.640000000003</v>
      </c>
      <c r="M265" s="18" t="s">
        <v>412</v>
      </c>
      <c r="Q265" t="s">
        <v>51</v>
      </c>
      <c r="R265"/>
      <c r="S265"/>
      <c r="T265"/>
      <c r="U265">
        <v>-532.73</v>
      </c>
      <c r="V265" t="s">
        <v>90</v>
      </c>
    </row>
    <row r="266" spans="1:24" x14ac:dyDescent="0.3">
      <c r="A266" s="12"/>
      <c r="B266" s="105" t="s">
        <v>488</v>
      </c>
      <c r="C266" s="1" t="s">
        <v>1134</v>
      </c>
      <c r="D266" s="132" t="s">
        <v>500</v>
      </c>
      <c r="E266" s="121" t="s">
        <v>1135</v>
      </c>
      <c r="F266" s="215"/>
      <c r="G266" s="210"/>
      <c r="H266" s="239">
        <v>50</v>
      </c>
      <c r="I266" s="215"/>
      <c r="J266" s="216"/>
      <c r="K266" s="43">
        <f t="shared" si="14"/>
        <v>50</v>
      </c>
      <c r="L266" s="43">
        <f t="shared" si="13"/>
        <v>26060.640000000003</v>
      </c>
      <c r="M266" s="18" t="s">
        <v>412</v>
      </c>
    </row>
    <row r="267" spans="1:24" x14ac:dyDescent="0.3">
      <c r="A267" s="12"/>
      <c r="B267" s="105" t="s">
        <v>488</v>
      </c>
      <c r="C267" s="1" t="s">
        <v>604</v>
      </c>
      <c r="D267" s="132" t="s">
        <v>512</v>
      </c>
      <c r="E267" s="168" t="s">
        <v>1145</v>
      </c>
      <c r="F267" s="240"/>
      <c r="G267" s="210"/>
      <c r="H267" s="240">
        <v>76.5</v>
      </c>
      <c r="I267" s="215"/>
      <c r="J267" s="216"/>
      <c r="K267" s="43">
        <f t="shared" si="14"/>
        <v>76.5</v>
      </c>
      <c r="L267" s="43">
        <f t="shared" si="13"/>
        <v>26137.140000000003</v>
      </c>
      <c r="M267" s="18" t="s">
        <v>534</v>
      </c>
    </row>
    <row r="268" spans="1:24" x14ac:dyDescent="0.3">
      <c r="A268" s="12"/>
      <c r="B268" s="105" t="s">
        <v>488</v>
      </c>
      <c r="C268" s="1" t="s">
        <v>604</v>
      </c>
      <c r="D268" s="132" t="s">
        <v>512</v>
      </c>
      <c r="E268" s="168" t="s">
        <v>1146</v>
      </c>
      <c r="F268" s="240"/>
      <c r="G268" s="210"/>
      <c r="H268" s="240">
        <v>19.5</v>
      </c>
      <c r="I268" s="215"/>
      <c r="J268" s="216"/>
      <c r="K268" s="43">
        <f t="shared" si="14"/>
        <v>19.5</v>
      </c>
      <c r="L268" s="43">
        <f t="shared" si="13"/>
        <v>26156.640000000003</v>
      </c>
      <c r="M268" s="18" t="s">
        <v>534</v>
      </c>
    </row>
    <row r="269" spans="1:24" x14ac:dyDescent="0.3">
      <c r="A269" s="12"/>
      <c r="B269" s="105" t="s">
        <v>488</v>
      </c>
      <c r="C269" s="1" t="s">
        <v>1138</v>
      </c>
      <c r="D269" s="132" t="s">
        <v>512</v>
      </c>
      <c r="E269" s="168" t="s">
        <v>1147</v>
      </c>
      <c r="F269" s="240"/>
      <c r="G269" s="210"/>
      <c r="H269" s="240">
        <v>50</v>
      </c>
      <c r="I269" s="215"/>
      <c r="J269" s="216"/>
      <c r="K269" s="43">
        <f t="shared" si="14"/>
        <v>50</v>
      </c>
      <c r="L269" s="43">
        <f t="shared" si="13"/>
        <v>26206.640000000003</v>
      </c>
      <c r="M269" s="18" t="s">
        <v>534</v>
      </c>
    </row>
    <row r="270" spans="1:24" x14ac:dyDescent="0.3">
      <c r="A270" s="12"/>
      <c r="B270" s="105" t="s">
        <v>488</v>
      </c>
      <c r="C270" s="1" t="s">
        <v>1139</v>
      </c>
      <c r="D270" s="132" t="s">
        <v>512</v>
      </c>
      <c r="E270" s="168" t="s">
        <v>1148</v>
      </c>
      <c r="F270" s="240"/>
      <c r="G270" s="210"/>
      <c r="H270" s="240">
        <v>12</v>
      </c>
      <c r="I270" s="215"/>
      <c r="J270" s="216"/>
      <c r="K270" s="43">
        <f t="shared" si="14"/>
        <v>12</v>
      </c>
      <c r="L270" s="43">
        <f t="shared" si="13"/>
        <v>26218.640000000003</v>
      </c>
      <c r="M270" s="18" t="s">
        <v>90</v>
      </c>
    </row>
    <row r="271" spans="1:24" x14ac:dyDescent="0.3">
      <c r="A271" s="12"/>
      <c r="B271" s="105" t="s">
        <v>488</v>
      </c>
      <c r="C271" s="4"/>
      <c r="D271" s="132"/>
      <c r="E271" s="33"/>
      <c r="F271" s="27"/>
      <c r="G271" s="33"/>
      <c r="H271" s="42"/>
      <c r="I271" s="42"/>
      <c r="J271" s="42"/>
      <c r="K271" s="43">
        <f t="shared" si="14"/>
        <v>0</v>
      </c>
      <c r="L271" s="43">
        <f t="shared" si="13"/>
        <v>26218.640000000003</v>
      </c>
      <c r="X271"/>
    </row>
    <row r="272" spans="1:24" x14ac:dyDescent="0.3">
      <c r="A272" s="12"/>
      <c r="B272" s="105" t="s">
        <v>488</v>
      </c>
      <c r="C272" s="4"/>
      <c r="D272" s="132"/>
      <c r="E272" s="33"/>
      <c r="F272" s="27"/>
      <c r="G272" s="33"/>
      <c r="H272" s="42"/>
      <c r="I272" s="42"/>
      <c r="J272" s="42"/>
      <c r="K272" s="43">
        <f t="shared" si="14"/>
        <v>0</v>
      </c>
      <c r="L272" s="75">
        <f t="shared" si="12"/>
        <v>26218.640000000003</v>
      </c>
      <c r="M272" s="18" t="s">
        <v>90</v>
      </c>
      <c r="Q272" t="s">
        <v>652</v>
      </c>
      <c r="R272"/>
      <c r="S272"/>
      <c r="T272"/>
      <c r="U272" s="23">
        <f>SUM(U257:U265)</f>
        <v>26218.639999999999</v>
      </c>
      <c r="V272" t="s">
        <v>588</v>
      </c>
    </row>
    <row r="273" spans="1:22" x14ac:dyDescent="0.3">
      <c r="B273" s="108"/>
      <c r="C273" s="11"/>
      <c r="D273" s="112"/>
      <c r="E273" s="33"/>
      <c r="F273" s="27"/>
      <c r="G273" s="33"/>
      <c r="H273" s="42"/>
      <c r="I273" s="42"/>
      <c r="J273" s="42"/>
      <c r="K273" s="43">
        <f t="shared" si="10"/>
        <v>0</v>
      </c>
      <c r="L273" s="43">
        <f t="shared" si="12"/>
        <v>26218.640000000003</v>
      </c>
      <c r="M273" s="16"/>
    </row>
    <row r="274" spans="1:22" x14ac:dyDescent="0.3">
      <c r="A274" s="5" t="s">
        <v>344</v>
      </c>
      <c r="B274" s="106" t="s">
        <v>489</v>
      </c>
      <c r="C274" s="4" t="s">
        <v>299</v>
      </c>
      <c r="D274" s="133" t="s">
        <v>301</v>
      </c>
      <c r="E274" s="213"/>
      <c r="F274" s="213"/>
      <c r="G274" s="214"/>
      <c r="H274" s="215"/>
      <c r="I274" s="215"/>
      <c r="J274" s="232">
        <v>-37.68</v>
      </c>
      <c r="K274" s="43">
        <f t="shared" si="10"/>
        <v>-37.68</v>
      </c>
      <c r="L274" s="43">
        <f t="shared" si="12"/>
        <v>26180.960000000003</v>
      </c>
      <c r="M274" s="18" t="s">
        <v>90</v>
      </c>
    </row>
    <row r="275" spans="1:22" x14ac:dyDescent="0.3">
      <c r="B275" s="106" t="s">
        <v>489</v>
      </c>
      <c r="C275" s="4" t="s">
        <v>607</v>
      </c>
      <c r="D275" s="133" t="s">
        <v>11</v>
      </c>
      <c r="E275" s="213"/>
      <c r="F275" s="213"/>
      <c r="G275" s="214"/>
      <c r="H275" s="215"/>
      <c r="I275" s="215"/>
      <c r="J275" s="232">
        <v>-200</v>
      </c>
      <c r="K275" s="43">
        <f t="shared" si="10"/>
        <v>-200</v>
      </c>
      <c r="L275" s="43">
        <f t="shared" si="12"/>
        <v>25980.960000000003</v>
      </c>
      <c r="M275" s="18" t="s">
        <v>90</v>
      </c>
    </row>
    <row r="276" spans="1:22" x14ac:dyDescent="0.3">
      <c r="B276" s="106" t="s">
        <v>489</v>
      </c>
      <c r="C276" s="214" t="s">
        <v>1109</v>
      </c>
      <c r="D276" s="133" t="s">
        <v>12</v>
      </c>
      <c r="E276" s="213"/>
      <c r="F276" s="215"/>
      <c r="G276" s="214"/>
      <c r="H276" s="215"/>
      <c r="I276" s="215"/>
      <c r="J276" s="232">
        <v>-27.98</v>
      </c>
      <c r="K276" s="43">
        <f t="shared" si="10"/>
        <v>-27.98</v>
      </c>
      <c r="L276" s="43">
        <f t="shared" si="12"/>
        <v>25952.980000000003</v>
      </c>
      <c r="M276" s="18" t="s">
        <v>90</v>
      </c>
    </row>
    <row r="277" spans="1:22" x14ac:dyDescent="0.3">
      <c r="A277" s="12"/>
      <c r="B277" s="106" t="s">
        <v>489</v>
      </c>
      <c r="C277" s="4" t="s">
        <v>48</v>
      </c>
      <c r="D277" s="133" t="s">
        <v>12</v>
      </c>
      <c r="E277" s="213"/>
      <c r="F277" s="215"/>
      <c r="G277" s="214"/>
      <c r="H277" s="215"/>
      <c r="I277" s="215"/>
      <c r="J277" s="232">
        <v>-71.599999999999994</v>
      </c>
      <c r="K277" s="43">
        <f t="shared" si="10"/>
        <v>-71.599999999999994</v>
      </c>
      <c r="L277" s="43">
        <f t="shared" si="12"/>
        <v>25881.380000000005</v>
      </c>
      <c r="M277" s="18" t="s">
        <v>90</v>
      </c>
    </row>
    <row r="278" spans="1:22" x14ac:dyDescent="0.3">
      <c r="B278" s="106" t="s">
        <v>489</v>
      </c>
      <c r="C278" s="4" t="s">
        <v>1068</v>
      </c>
      <c r="D278" s="133" t="s">
        <v>12</v>
      </c>
      <c r="E278" s="213" t="s">
        <v>354</v>
      </c>
      <c r="F278" s="215"/>
      <c r="G278" s="214"/>
      <c r="H278" s="215"/>
      <c r="I278" s="215"/>
      <c r="J278" s="228">
        <v>-510.3</v>
      </c>
      <c r="K278" s="43">
        <f t="shared" si="10"/>
        <v>-510.3</v>
      </c>
      <c r="L278" s="43">
        <f t="shared" si="12"/>
        <v>25371.080000000005</v>
      </c>
      <c r="M278" s="18" t="s">
        <v>90</v>
      </c>
    </row>
    <row r="279" spans="1:22" x14ac:dyDescent="0.3">
      <c r="A279" s="12"/>
      <c r="B279" s="106" t="s">
        <v>489</v>
      </c>
      <c r="C279" s="4" t="s">
        <v>58</v>
      </c>
      <c r="D279" s="133" t="s">
        <v>9</v>
      </c>
      <c r="E279" s="213" t="s">
        <v>354</v>
      </c>
      <c r="F279" s="215"/>
      <c r="G279" s="214"/>
      <c r="H279" s="215"/>
      <c r="I279" s="215"/>
      <c r="J279" s="235">
        <v>-107.16</v>
      </c>
      <c r="K279" s="43">
        <f t="shared" si="10"/>
        <v>-107.16</v>
      </c>
      <c r="L279" s="43">
        <f t="shared" si="12"/>
        <v>25263.920000000006</v>
      </c>
      <c r="M279" s="18" t="s">
        <v>90</v>
      </c>
    </row>
    <row r="280" spans="1:22" x14ac:dyDescent="0.3">
      <c r="B280" s="106" t="s">
        <v>489</v>
      </c>
      <c r="C280" s="4" t="s">
        <v>1133</v>
      </c>
      <c r="D280" s="132" t="s">
        <v>512</v>
      </c>
      <c r="E280" s="168" t="s">
        <v>1141</v>
      </c>
      <c r="F280" s="52"/>
      <c r="G280" s="33"/>
      <c r="H280" s="42">
        <v>8</v>
      </c>
      <c r="I280" s="42"/>
      <c r="J280" s="42"/>
      <c r="K280" s="43">
        <f t="shared" si="10"/>
        <v>8</v>
      </c>
      <c r="L280" s="43">
        <f t="shared" si="12"/>
        <v>25271.920000000006</v>
      </c>
      <c r="M280" s="18" t="s">
        <v>412</v>
      </c>
    </row>
    <row r="281" spans="1:22" x14ac:dyDescent="0.3">
      <c r="B281" s="106" t="s">
        <v>489</v>
      </c>
      <c r="C281" s="4" t="s">
        <v>1133</v>
      </c>
      <c r="D281" s="132" t="s">
        <v>512</v>
      </c>
      <c r="E281" s="168" t="s">
        <v>1143</v>
      </c>
      <c r="F281" s="52"/>
      <c r="G281" s="33"/>
      <c r="H281" s="42">
        <v>8</v>
      </c>
      <c r="I281" s="42"/>
      <c r="J281" s="42"/>
      <c r="K281" s="43">
        <f t="shared" si="10"/>
        <v>8</v>
      </c>
      <c r="L281" s="43">
        <f t="shared" si="12"/>
        <v>25279.920000000006</v>
      </c>
      <c r="M281" s="18" t="s">
        <v>412</v>
      </c>
    </row>
    <row r="282" spans="1:22" x14ac:dyDescent="0.3">
      <c r="A282" s="12"/>
      <c r="B282" s="106" t="s">
        <v>489</v>
      </c>
      <c r="C282" s="4" t="s">
        <v>1043</v>
      </c>
      <c r="D282" s="132" t="s">
        <v>512</v>
      </c>
      <c r="E282" s="168" t="s">
        <v>1142</v>
      </c>
      <c r="F282" s="27"/>
      <c r="G282" s="33"/>
      <c r="H282" s="42">
        <v>103</v>
      </c>
      <c r="I282" s="42"/>
      <c r="J282" s="42"/>
      <c r="K282" s="43">
        <f t="shared" si="10"/>
        <v>103</v>
      </c>
      <c r="L282" s="43">
        <f t="shared" si="12"/>
        <v>25382.920000000006</v>
      </c>
      <c r="M282" s="16" t="s">
        <v>412</v>
      </c>
      <c r="R282" s="30"/>
    </row>
    <row r="283" spans="1:22" x14ac:dyDescent="0.3">
      <c r="A283" s="29"/>
      <c r="B283" s="106" t="s">
        <v>489</v>
      </c>
      <c r="C283" s="4" t="s">
        <v>1043</v>
      </c>
      <c r="D283" s="132" t="s">
        <v>500</v>
      </c>
      <c r="E283" s="121" t="s">
        <v>461</v>
      </c>
      <c r="F283" s="27"/>
      <c r="G283" s="210"/>
      <c r="H283" s="49">
        <v>100</v>
      </c>
      <c r="I283" s="42"/>
      <c r="J283" s="170"/>
      <c r="K283" s="43">
        <f t="shared" si="10"/>
        <v>100</v>
      </c>
      <c r="L283" s="43">
        <f t="shared" si="12"/>
        <v>25482.920000000006</v>
      </c>
      <c r="M283" s="16" t="s">
        <v>412</v>
      </c>
      <c r="Q283" s="30" t="s">
        <v>1166</v>
      </c>
      <c r="R283" s="30"/>
      <c r="S283" s="30"/>
      <c r="T283"/>
      <c r="U283"/>
      <c r="V283"/>
    </row>
    <row r="284" spans="1:22" x14ac:dyDescent="0.3">
      <c r="A284" s="29"/>
      <c r="B284" s="106" t="s">
        <v>489</v>
      </c>
      <c r="C284" s="4" t="s">
        <v>1140</v>
      </c>
      <c r="D284" s="132" t="s">
        <v>512</v>
      </c>
      <c r="E284" s="168" t="s">
        <v>1144</v>
      </c>
      <c r="F284" s="27"/>
      <c r="G284" s="33"/>
      <c r="H284" s="42">
        <v>8</v>
      </c>
      <c r="I284" s="42"/>
      <c r="J284" s="42"/>
      <c r="K284" s="43">
        <f t="shared" si="10"/>
        <v>8</v>
      </c>
      <c r="L284" s="43">
        <f t="shared" si="12"/>
        <v>25490.920000000006</v>
      </c>
      <c r="M284" s="16" t="s">
        <v>90</v>
      </c>
      <c r="Q284"/>
      <c r="R284"/>
      <c r="S284"/>
      <c r="T284"/>
      <c r="U284"/>
      <c r="V284"/>
    </row>
    <row r="285" spans="1:22" x14ac:dyDescent="0.3">
      <c r="A285" s="29"/>
      <c r="B285" s="106" t="s">
        <v>489</v>
      </c>
      <c r="C285" s="4" t="s">
        <v>1149</v>
      </c>
      <c r="D285" s="132" t="s">
        <v>512</v>
      </c>
      <c r="E285" s="33"/>
      <c r="F285" s="27"/>
      <c r="G285" s="33"/>
      <c r="H285" s="42">
        <v>102</v>
      </c>
      <c r="I285" s="42"/>
      <c r="J285" s="42"/>
      <c r="K285" s="43">
        <f t="shared" ref="K285:K349" si="15">H285+J285</f>
        <v>102</v>
      </c>
      <c r="L285" s="43">
        <f t="shared" si="12"/>
        <v>25592.920000000006</v>
      </c>
      <c r="M285" s="16" t="s">
        <v>412</v>
      </c>
      <c r="Q285" t="s">
        <v>584</v>
      </c>
      <c r="R285"/>
      <c r="S285"/>
      <c r="T285"/>
      <c r="U285">
        <v>25933.22</v>
      </c>
      <c r="V285"/>
    </row>
    <row r="286" spans="1:22" x14ac:dyDescent="0.3">
      <c r="B286" s="106" t="s">
        <v>489</v>
      </c>
      <c r="C286" s="4" t="s">
        <v>1149</v>
      </c>
      <c r="D286" s="132" t="s">
        <v>500</v>
      </c>
      <c r="E286" s="121" t="s">
        <v>758</v>
      </c>
      <c r="F286" s="27"/>
      <c r="G286" s="210"/>
      <c r="H286" s="49">
        <v>50</v>
      </c>
      <c r="I286" s="42"/>
      <c r="J286" s="42"/>
      <c r="K286" s="43">
        <f t="shared" si="15"/>
        <v>50</v>
      </c>
      <c r="L286" s="43">
        <f t="shared" si="12"/>
        <v>25642.920000000006</v>
      </c>
      <c r="M286" s="16" t="s">
        <v>412</v>
      </c>
      <c r="Q286"/>
      <c r="R286"/>
      <c r="S286"/>
      <c r="T286"/>
      <c r="U286"/>
      <c r="V286"/>
    </row>
    <row r="287" spans="1:22" x14ac:dyDescent="0.3">
      <c r="B287" s="106" t="s">
        <v>489</v>
      </c>
      <c r="C287" s="4" t="s">
        <v>600</v>
      </c>
      <c r="D287" s="132" t="s">
        <v>512</v>
      </c>
      <c r="E287" s="120"/>
      <c r="F287" s="27"/>
      <c r="G287" s="33"/>
      <c r="H287" s="42">
        <v>12</v>
      </c>
      <c r="I287" s="42"/>
      <c r="J287" s="42"/>
      <c r="K287" s="43">
        <f t="shared" si="15"/>
        <v>12</v>
      </c>
      <c r="L287" s="43">
        <f t="shared" si="12"/>
        <v>25654.920000000006</v>
      </c>
      <c r="M287" s="16" t="s">
        <v>90</v>
      </c>
      <c r="Q287" t="s">
        <v>650</v>
      </c>
      <c r="R287"/>
      <c r="S287"/>
      <c r="T287" s="125"/>
      <c r="U287">
        <v>34</v>
      </c>
      <c r="V287" t="s">
        <v>90</v>
      </c>
    </row>
    <row r="288" spans="1:22" x14ac:dyDescent="0.3">
      <c r="A288" s="29"/>
      <c r="B288" s="106" t="s">
        <v>489</v>
      </c>
      <c r="C288" s="137" t="s">
        <v>782</v>
      </c>
      <c r="D288" s="133" t="s">
        <v>518</v>
      </c>
      <c r="E288" s="120"/>
      <c r="F288" s="27"/>
      <c r="G288" s="120"/>
      <c r="H288" s="42"/>
      <c r="I288" s="42"/>
      <c r="J288" s="42">
        <v>-126</v>
      </c>
      <c r="K288" s="43">
        <f t="shared" si="15"/>
        <v>-126</v>
      </c>
      <c r="L288" s="43">
        <f t="shared" si="12"/>
        <v>25528.920000000006</v>
      </c>
      <c r="M288" s="18" t="s">
        <v>90</v>
      </c>
      <c r="V288"/>
    </row>
    <row r="289" spans="1:24" x14ac:dyDescent="0.3">
      <c r="A289" s="29"/>
      <c r="B289" s="106" t="s">
        <v>489</v>
      </c>
      <c r="C289" s="213" t="s">
        <v>1049</v>
      </c>
      <c r="D289" s="132" t="s">
        <v>512</v>
      </c>
      <c r="E289" s="33"/>
      <c r="F289" s="27"/>
      <c r="G289" s="120"/>
      <c r="H289" s="42">
        <v>100</v>
      </c>
      <c r="I289" s="42"/>
      <c r="J289" s="42"/>
      <c r="K289" s="43">
        <f t="shared" si="15"/>
        <v>100</v>
      </c>
      <c r="L289" s="43">
        <f t="shared" si="12"/>
        <v>25628.920000000006</v>
      </c>
      <c r="M289" s="16" t="s">
        <v>90</v>
      </c>
      <c r="N289"/>
      <c r="Q289" t="s">
        <v>586</v>
      </c>
      <c r="R289"/>
      <c r="S289"/>
      <c r="T289" s="125"/>
      <c r="U289"/>
      <c r="V289"/>
    </row>
    <row r="290" spans="1:24" x14ac:dyDescent="0.3">
      <c r="A290" s="29"/>
      <c r="B290" s="106" t="s">
        <v>489</v>
      </c>
      <c r="C290" s="4" t="s">
        <v>1073</v>
      </c>
      <c r="D290" s="112" t="s">
        <v>504</v>
      </c>
      <c r="E290" s="121" t="s">
        <v>1152</v>
      </c>
      <c r="F290" s="52"/>
      <c r="G290" s="168" t="s">
        <v>1165</v>
      </c>
      <c r="H290" s="42"/>
      <c r="I290" s="42"/>
      <c r="J290" s="49">
        <v>-50</v>
      </c>
      <c r="K290" s="43">
        <f t="shared" si="15"/>
        <v>-50</v>
      </c>
      <c r="L290" s="43">
        <f t="shared" si="12"/>
        <v>25578.920000000006</v>
      </c>
      <c r="M290" s="16" t="s">
        <v>90</v>
      </c>
      <c r="Q290">
        <v>500763</v>
      </c>
      <c r="R290"/>
      <c r="S290"/>
      <c r="T290"/>
      <c r="U290">
        <v>-50</v>
      </c>
      <c r="V290"/>
    </row>
    <row r="291" spans="1:24" x14ac:dyDescent="0.3">
      <c r="A291" s="12"/>
      <c r="B291" s="106" t="s">
        <v>489</v>
      </c>
      <c r="C291" s="4" t="s">
        <v>1150</v>
      </c>
      <c r="D291" s="112" t="s">
        <v>504</v>
      </c>
      <c r="E291" s="121" t="s">
        <v>1151</v>
      </c>
      <c r="F291" s="27"/>
      <c r="G291" s="168" t="s">
        <v>1167</v>
      </c>
      <c r="H291" s="42"/>
      <c r="I291" s="42"/>
      <c r="J291" s="49">
        <v>-100</v>
      </c>
      <c r="K291" s="43">
        <f t="shared" si="15"/>
        <v>-100</v>
      </c>
      <c r="L291" s="43">
        <f t="shared" si="12"/>
        <v>25478.920000000006</v>
      </c>
      <c r="M291" s="16" t="s">
        <v>1181</v>
      </c>
      <c r="Q291" t="s">
        <v>11</v>
      </c>
      <c r="R291"/>
      <c r="S291"/>
      <c r="T291" s="125"/>
      <c r="U291" s="125">
        <v>0</v>
      </c>
      <c r="V291"/>
    </row>
    <row r="292" spans="1:24" x14ac:dyDescent="0.3">
      <c r="A292" s="12"/>
      <c r="B292" s="106" t="s">
        <v>489</v>
      </c>
      <c r="C292" s="4" t="s">
        <v>1154</v>
      </c>
      <c r="D292" s="132" t="s">
        <v>512</v>
      </c>
      <c r="E292" s="33"/>
      <c r="F292" s="27"/>
      <c r="G292" s="33"/>
      <c r="H292" s="42">
        <v>68</v>
      </c>
      <c r="I292" s="42"/>
      <c r="J292" s="42"/>
      <c r="K292" s="43">
        <f t="shared" si="15"/>
        <v>68</v>
      </c>
      <c r="L292" s="43">
        <f t="shared" si="12"/>
        <v>25546.920000000006</v>
      </c>
      <c r="M292" s="16" t="s">
        <v>412</v>
      </c>
      <c r="Q292">
        <v>500781</v>
      </c>
      <c r="R292"/>
      <c r="S292"/>
      <c r="T292"/>
      <c r="U292">
        <v>-50</v>
      </c>
      <c r="V292"/>
      <c r="W292"/>
    </row>
    <row r="293" spans="1:24" x14ac:dyDescent="0.3">
      <c r="A293" s="12"/>
      <c r="B293" s="106" t="s">
        <v>489</v>
      </c>
      <c r="C293" s="4" t="s">
        <v>1154</v>
      </c>
      <c r="D293" s="132" t="s">
        <v>500</v>
      </c>
      <c r="E293" s="121" t="s">
        <v>760</v>
      </c>
      <c r="F293" s="27"/>
      <c r="G293" s="210"/>
      <c r="H293" s="49">
        <v>50</v>
      </c>
      <c r="I293" s="42"/>
      <c r="J293" s="42"/>
      <c r="K293" s="43">
        <f t="shared" si="15"/>
        <v>50</v>
      </c>
      <c r="L293" s="43">
        <f t="shared" si="12"/>
        <v>25596.920000000006</v>
      </c>
      <c r="M293" s="16" t="s">
        <v>412</v>
      </c>
      <c r="Q293" t="s">
        <v>1100</v>
      </c>
      <c r="R293"/>
      <c r="S293"/>
      <c r="T293"/>
      <c r="U293">
        <v>-510.3</v>
      </c>
      <c r="V293" t="s">
        <v>90</v>
      </c>
      <c r="W293"/>
    </row>
    <row r="294" spans="1:24" x14ac:dyDescent="0.3">
      <c r="A294" s="12"/>
      <c r="B294" s="106" t="s">
        <v>489</v>
      </c>
      <c r="C294" s="4" t="s">
        <v>1155</v>
      </c>
      <c r="D294" s="132" t="s">
        <v>512</v>
      </c>
      <c r="E294" s="120"/>
      <c r="F294" s="27"/>
      <c r="G294" s="120"/>
      <c r="H294" s="42">
        <v>34</v>
      </c>
      <c r="I294" s="42"/>
      <c r="J294" s="42"/>
      <c r="K294" s="43">
        <f t="shared" si="15"/>
        <v>34</v>
      </c>
      <c r="L294" s="43">
        <f t="shared" si="12"/>
        <v>25630.920000000006</v>
      </c>
      <c r="M294" s="16" t="s">
        <v>90</v>
      </c>
      <c r="Q294" s="244" t="s">
        <v>1167</v>
      </c>
      <c r="U294" s="15">
        <v>-100</v>
      </c>
      <c r="V294" t="s">
        <v>90</v>
      </c>
      <c r="W294"/>
    </row>
    <row r="295" spans="1:24" x14ac:dyDescent="0.3">
      <c r="A295" s="12"/>
      <c r="B295" s="106" t="s">
        <v>489</v>
      </c>
      <c r="C295" s="4" t="s">
        <v>1153</v>
      </c>
      <c r="D295" s="132" t="s">
        <v>512</v>
      </c>
      <c r="E295" s="33"/>
      <c r="F295" s="27"/>
      <c r="G295" s="33"/>
      <c r="H295" s="42">
        <v>76</v>
      </c>
      <c r="I295" s="42"/>
      <c r="J295" s="42"/>
      <c r="K295" s="43">
        <f t="shared" si="15"/>
        <v>76</v>
      </c>
      <c r="L295" s="43">
        <f t="shared" si="12"/>
        <v>25706.920000000006</v>
      </c>
      <c r="M295" s="16" t="s">
        <v>412</v>
      </c>
      <c r="Q295" s="244" t="s">
        <v>1168</v>
      </c>
      <c r="U295">
        <v>-50</v>
      </c>
    </row>
    <row r="296" spans="1:24" x14ac:dyDescent="0.3">
      <c r="A296" s="12"/>
      <c r="B296" s="106" t="s">
        <v>489</v>
      </c>
      <c r="C296" s="4" t="s">
        <v>1153</v>
      </c>
      <c r="D296" s="132" t="s">
        <v>500</v>
      </c>
      <c r="E296" s="121" t="s">
        <v>769</v>
      </c>
      <c r="F296" s="27"/>
      <c r="G296" s="210"/>
      <c r="H296" s="49">
        <v>42</v>
      </c>
      <c r="I296" s="42"/>
      <c r="J296" s="42"/>
      <c r="K296" s="43">
        <f t="shared" si="15"/>
        <v>42</v>
      </c>
      <c r="L296" s="43">
        <f t="shared" si="12"/>
        <v>25748.920000000006</v>
      </c>
      <c r="M296" s="16" t="s">
        <v>412</v>
      </c>
      <c r="Q296" s="4"/>
      <c r="U296"/>
    </row>
    <row r="297" spans="1:24" x14ac:dyDescent="0.3">
      <c r="A297" s="12"/>
      <c r="B297" s="106" t="s">
        <v>489</v>
      </c>
      <c r="C297" s="4" t="s">
        <v>266</v>
      </c>
      <c r="D297" s="132" t="s">
        <v>512</v>
      </c>
      <c r="E297" s="120"/>
      <c r="F297" s="27"/>
      <c r="G297" s="120"/>
      <c r="H297" s="42">
        <v>8</v>
      </c>
      <c r="I297" s="42"/>
      <c r="J297" s="42"/>
      <c r="K297" s="43">
        <f t="shared" si="15"/>
        <v>8</v>
      </c>
      <c r="L297" s="43">
        <f t="shared" si="12"/>
        <v>25756.920000000006</v>
      </c>
      <c r="M297" s="16" t="s">
        <v>90</v>
      </c>
      <c r="W297"/>
    </row>
    <row r="298" spans="1:24" x14ac:dyDescent="0.3">
      <c r="B298" s="106" t="s">
        <v>489</v>
      </c>
      <c r="C298" s="4" t="s">
        <v>1149</v>
      </c>
      <c r="D298" s="112" t="s">
        <v>504</v>
      </c>
      <c r="E298" s="121" t="s">
        <v>905</v>
      </c>
      <c r="F298" s="27"/>
      <c r="G298" s="33">
        <v>500786</v>
      </c>
      <c r="H298" s="42"/>
      <c r="I298" s="42"/>
      <c r="J298" s="49">
        <v>-50</v>
      </c>
      <c r="K298" s="43">
        <f t="shared" si="15"/>
        <v>-50</v>
      </c>
      <c r="L298" s="43">
        <f t="shared" si="12"/>
        <v>25706.920000000006</v>
      </c>
      <c r="M298" s="16" t="s">
        <v>1201</v>
      </c>
    </row>
    <row r="299" spans="1:24" x14ac:dyDescent="0.3">
      <c r="A299" s="12"/>
      <c r="B299" s="106" t="s">
        <v>489</v>
      </c>
      <c r="C299" s="4" t="s">
        <v>348</v>
      </c>
      <c r="D299" s="133" t="s">
        <v>518</v>
      </c>
      <c r="E299" s="120" t="s">
        <v>1156</v>
      </c>
      <c r="F299" s="27"/>
      <c r="G299" s="33"/>
      <c r="H299" s="42"/>
      <c r="I299" s="42"/>
      <c r="J299" s="42">
        <v>-500</v>
      </c>
      <c r="K299" s="43">
        <f t="shared" si="15"/>
        <v>-500</v>
      </c>
      <c r="L299" s="43">
        <f t="shared" si="12"/>
        <v>25206.920000000006</v>
      </c>
      <c r="M299" s="16" t="s">
        <v>90</v>
      </c>
      <c r="X299"/>
    </row>
    <row r="300" spans="1:24" x14ac:dyDescent="0.3">
      <c r="A300" s="28" t="s">
        <v>81</v>
      </c>
      <c r="B300" s="105"/>
      <c r="D300" s="116"/>
      <c r="E300" s="33"/>
      <c r="F300" s="52"/>
      <c r="G300" s="33"/>
      <c r="H300" s="42"/>
      <c r="I300" s="42"/>
      <c r="J300" s="42"/>
      <c r="K300" s="43">
        <f t="shared" si="15"/>
        <v>0</v>
      </c>
      <c r="L300" s="75">
        <f t="shared" si="12"/>
        <v>25206.920000000006</v>
      </c>
      <c r="Q300" t="s">
        <v>652</v>
      </c>
      <c r="R300"/>
      <c r="S300"/>
      <c r="T300"/>
      <c r="U300" s="23">
        <f>SUM(U285:U296)</f>
        <v>25206.920000000002</v>
      </c>
      <c r="V300" t="s">
        <v>588</v>
      </c>
      <c r="W300" s="125" t="s">
        <v>1169</v>
      </c>
    </row>
    <row r="301" spans="1:24" x14ac:dyDescent="0.3">
      <c r="A301" s="40"/>
      <c r="B301" s="109" t="s">
        <v>490</v>
      </c>
      <c r="C301" s="4" t="s">
        <v>1157</v>
      </c>
      <c r="D301" s="133" t="s">
        <v>513</v>
      </c>
      <c r="E301" s="120" t="s">
        <v>1158</v>
      </c>
      <c r="F301" s="27"/>
      <c r="G301" s="33"/>
      <c r="H301" s="51">
        <v>181.3</v>
      </c>
      <c r="I301" s="42"/>
      <c r="J301" s="42"/>
      <c r="K301" s="43">
        <f t="shared" si="15"/>
        <v>181.3</v>
      </c>
      <c r="L301" s="43">
        <f t="shared" si="12"/>
        <v>25388.220000000005</v>
      </c>
      <c r="M301" s="18" t="s">
        <v>90</v>
      </c>
    </row>
    <row r="302" spans="1:24" x14ac:dyDescent="0.3">
      <c r="A302" s="12"/>
      <c r="B302" s="109" t="s">
        <v>490</v>
      </c>
      <c r="C302" s="4" t="s">
        <v>1159</v>
      </c>
      <c r="D302" s="133" t="s">
        <v>513</v>
      </c>
      <c r="E302" s="120" t="s">
        <v>1158</v>
      </c>
      <c r="F302" s="27"/>
      <c r="G302" s="33"/>
      <c r="H302" s="51">
        <v>137.19999999999999</v>
      </c>
      <c r="I302" s="42"/>
      <c r="J302" s="42"/>
      <c r="K302" s="43">
        <f t="shared" si="15"/>
        <v>137.19999999999999</v>
      </c>
      <c r="L302" s="43">
        <f t="shared" si="12"/>
        <v>25525.420000000006</v>
      </c>
      <c r="M302" s="16" t="s">
        <v>90</v>
      </c>
      <c r="U302" s="57"/>
    </row>
    <row r="303" spans="1:24" x14ac:dyDescent="0.3">
      <c r="B303" s="109" t="s">
        <v>490</v>
      </c>
      <c r="C303" s="4" t="s">
        <v>805</v>
      </c>
      <c r="D303" s="133" t="s">
        <v>623</v>
      </c>
      <c r="E303" s="213"/>
      <c r="F303" s="215"/>
      <c r="G303" s="231" t="s">
        <v>1162</v>
      </c>
      <c r="H303" s="215"/>
      <c r="I303" s="215"/>
      <c r="J303" s="226">
        <v>-86.45</v>
      </c>
      <c r="K303" s="43">
        <f t="shared" si="15"/>
        <v>-86.45</v>
      </c>
      <c r="L303" s="43">
        <f t="shared" si="12"/>
        <v>25438.970000000005</v>
      </c>
      <c r="M303" s="16" t="s">
        <v>90</v>
      </c>
    </row>
    <row r="304" spans="1:24" x14ac:dyDescent="0.3">
      <c r="A304" s="26"/>
      <c r="B304" s="109" t="s">
        <v>490</v>
      </c>
      <c r="C304" s="4" t="s">
        <v>465</v>
      </c>
      <c r="D304" s="133" t="s">
        <v>518</v>
      </c>
      <c r="E304" s="213"/>
      <c r="F304" s="215"/>
      <c r="G304" s="231" t="s">
        <v>1163</v>
      </c>
      <c r="H304" s="215"/>
      <c r="I304" s="215"/>
      <c r="J304" s="226">
        <v>-77.97</v>
      </c>
      <c r="K304" s="43">
        <f t="shared" si="15"/>
        <v>-77.97</v>
      </c>
      <c r="L304" s="43">
        <f t="shared" si="12"/>
        <v>25361.000000000004</v>
      </c>
      <c r="M304" s="16" t="s">
        <v>90</v>
      </c>
    </row>
    <row r="305" spans="1:23" x14ac:dyDescent="0.3">
      <c r="A305" s="26"/>
      <c r="B305" s="109" t="s">
        <v>490</v>
      </c>
      <c r="C305" s="4" t="s">
        <v>1161</v>
      </c>
      <c r="D305" s="112" t="s">
        <v>504</v>
      </c>
      <c r="E305" s="121" t="s">
        <v>1160</v>
      </c>
      <c r="F305" s="215"/>
      <c r="G305" s="231" t="s">
        <v>1164</v>
      </c>
      <c r="H305" s="215"/>
      <c r="I305" s="215"/>
      <c r="J305" s="225">
        <v>-100</v>
      </c>
      <c r="K305" s="43">
        <f t="shared" si="15"/>
        <v>-100</v>
      </c>
      <c r="L305" s="43">
        <f t="shared" si="12"/>
        <v>25261.000000000004</v>
      </c>
      <c r="M305" s="18" t="s">
        <v>90</v>
      </c>
      <c r="S305" s="57"/>
    </row>
    <row r="306" spans="1:23" x14ac:dyDescent="0.3">
      <c r="A306" s="59"/>
      <c r="B306" s="109" t="s">
        <v>490</v>
      </c>
      <c r="C306" s="4" t="s">
        <v>1170</v>
      </c>
      <c r="D306" s="132" t="s">
        <v>512</v>
      </c>
      <c r="E306" s="213"/>
      <c r="F306" s="215"/>
      <c r="G306" s="214"/>
      <c r="H306" s="215">
        <v>4</v>
      </c>
      <c r="I306" s="215"/>
      <c r="J306" s="216"/>
      <c r="K306" s="43">
        <f t="shared" si="15"/>
        <v>4</v>
      </c>
      <c r="L306" s="43">
        <f t="shared" si="12"/>
        <v>25265.000000000004</v>
      </c>
      <c r="M306" s="18" t="s">
        <v>90</v>
      </c>
      <c r="S306" s="57"/>
    </row>
    <row r="307" spans="1:23" x14ac:dyDescent="0.3">
      <c r="A307" s="29"/>
      <c r="B307" s="109" t="s">
        <v>490</v>
      </c>
      <c r="C307" s="4" t="s">
        <v>348</v>
      </c>
      <c r="D307" s="133" t="s">
        <v>518</v>
      </c>
      <c r="E307" s="213" t="s">
        <v>1171</v>
      </c>
      <c r="F307" s="215"/>
      <c r="G307" s="214"/>
      <c r="H307" s="215"/>
      <c r="I307" s="215"/>
      <c r="J307" s="226">
        <v>-1980</v>
      </c>
      <c r="K307" s="43">
        <f t="shared" si="15"/>
        <v>-1980</v>
      </c>
      <c r="L307" s="43">
        <f t="shared" si="12"/>
        <v>23285.000000000004</v>
      </c>
      <c r="M307" s="16" t="s">
        <v>90</v>
      </c>
      <c r="S307" s="57"/>
    </row>
    <row r="308" spans="1:23" x14ac:dyDescent="0.3">
      <c r="A308" s="34"/>
      <c r="B308" s="109" t="s">
        <v>490</v>
      </c>
      <c r="C308" s="4" t="s">
        <v>1172</v>
      </c>
      <c r="D308" s="132" t="s">
        <v>512</v>
      </c>
      <c r="E308" s="213"/>
      <c r="F308" s="215"/>
      <c r="G308" s="214"/>
      <c r="H308" s="215">
        <v>12</v>
      </c>
      <c r="I308" s="215"/>
      <c r="J308" s="216"/>
      <c r="K308" s="43">
        <f t="shared" si="15"/>
        <v>12</v>
      </c>
      <c r="L308" s="43">
        <f t="shared" si="12"/>
        <v>23297.000000000004</v>
      </c>
      <c r="M308" s="18" t="s">
        <v>90</v>
      </c>
      <c r="S308" s="57"/>
    </row>
    <row r="309" spans="1:23" x14ac:dyDescent="0.3">
      <c r="A309" s="29"/>
      <c r="B309" s="109" t="s">
        <v>490</v>
      </c>
      <c r="C309" s="4" t="s">
        <v>1173</v>
      </c>
      <c r="D309" s="132" t="s">
        <v>512</v>
      </c>
      <c r="E309" s="213"/>
      <c r="F309" s="215"/>
      <c r="G309" s="214"/>
      <c r="H309" s="215">
        <v>68</v>
      </c>
      <c r="I309" s="215"/>
      <c r="J309" s="216"/>
      <c r="K309" s="43">
        <f t="shared" si="15"/>
        <v>68</v>
      </c>
      <c r="L309" s="43">
        <f t="shared" si="12"/>
        <v>23365.000000000004</v>
      </c>
      <c r="M309" s="18" t="s">
        <v>90</v>
      </c>
      <c r="S309" s="57"/>
    </row>
    <row r="310" spans="1:23" x14ac:dyDescent="0.3">
      <c r="A310" s="29"/>
      <c r="B310" s="109" t="s">
        <v>490</v>
      </c>
      <c r="C310" s="4" t="s">
        <v>1174</v>
      </c>
      <c r="D310" s="132" t="s">
        <v>512</v>
      </c>
      <c r="E310" s="120"/>
      <c r="F310" s="27"/>
      <c r="G310" s="33"/>
      <c r="H310" s="42">
        <v>8</v>
      </c>
      <c r="I310" s="42"/>
      <c r="J310" s="42"/>
      <c r="K310" s="43">
        <f t="shared" si="15"/>
        <v>8</v>
      </c>
      <c r="L310" s="43">
        <f t="shared" si="12"/>
        <v>23373.000000000004</v>
      </c>
      <c r="M310" s="18" t="s">
        <v>534</v>
      </c>
      <c r="S310" s="57"/>
    </row>
    <row r="311" spans="1:23" x14ac:dyDescent="0.3">
      <c r="A311" s="29"/>
      <c r="B311" s="109" t="s">
        <v>490</v>
      </c>
      <c r="C311" s="4" t="s">
        <v>1175</v>
      </c>
      <c r="D311" s="132" t="s">
        <v>512</v>
      </c>
      <c r="E311" s="33"/>
      <c r="F311" s="52"/>
      <c r="G311" s="33"/>
      <c r="H311" s="42">
        <v>96</v>
      </c>
      <c r="I311" s="42"/>
      <c r="J311" s="42"/>
      <c r="K311" s="43">
        <f t="shared" si="15"/>
        <v>96</v>
      </c>
      <c r="L311" s="43">
        <f t="shared" si="12"/>
        <v>23469.000000000004</v>
      </c>
      <c r="M311" s="16" t="s">
        <v>534</v>
      </c>
      <c r="S311" s="57"/>
    </row>
    <row r="312" spans="1:23" x14ac:dyDescent="0.3">
      <c r="A312" s="52"/>
      <c r="B312" s="109" t="s">
        <v>490</v>
      </c>
      <c r="C312" s="4" t="s">
        <v>604</v>
      </c>
      <c r="D312" s="132" t="s">
        <v>512</v>
      </c>
      <c r="E312" s="120"/>
      <c r="F312" s="52"/>
      <c r="G312" s="120"/>
      <c r="H312" s="42">
        <v>51</v>
      </c>
      <c r="I312" s="42"/>
      <c r="J312" s="42"/>
      <c r="K312" s="43">
        <f t="shared" si="15"/>
        <v>51</v>
      </c>
      <c r="L312" s="43">
        <f t="shared" si="12"/>
        <v>23520.000000000004</v>
      </c>
      <c r="M312" s="16" t="s">
        <v>534</v>
      </c>
      <c r="S312" s="57"/>
    </row>
    <row r="313" spans="1:23" x14ac:dyDescent="0.3">
      <c r="A313" s="29"/>
      <c r="B313" s="109" t="s">
        <v>490</v>
      </c>
      <c r="C313" s="4" t="s">
        <v>299</v>
      </c>
      <c r="D313" s="133" t="s">
        <v>301</v>
      </c>
      <c r="E313" s="213"/>
      <c r="F313" s="213"/>
      <c r="G313" s="214"/>
      <c r="H313" s="215"/>
      <c r="I313" s="215"/>
      <c r="J313" s="232">
        <v>-37.68</v>
      </c>
      <c r="K313" s="43">
        <f t="shared" si="15"/>
        <v>-37.68</v>
      </c>
      <c r="L313" s="43">
        <f t="shared" si="12"/>
        <v>23482.320000000003</v>
      </c>
      <c r="M313" s="16" t="s">
        <v>90</v>
      </c>
      <c r="N313" s="11"/>
      <c r="S313" s="57"/>
    </row>
    <row r="314" spans="1:23" x14ac:dyDescent="0.3">
      <c r="A314" s="59"/>
      <c r="B314" s="109" t="s">
        <v>490</v>
      </c>
      <c r="C314" s="4" t="s">
        <v>607</v>
      </c>
      <c r="D314" s="133" t="s">
        <v>11</v>
      </c>
      <c r="E314" s="213"/>
      <c r="F314" s="213"/>
      <c r="G314" s="214"/>
      <c r="H314" s="215"/>
      <c r="I314" s="215"/>
      <c r="J314" s="232">
        <v>-200</v>
      </c>
      <c r="K314" s="43">
        <f t="shared" si="15"/>
        <v>-200</v>
      </c>
      <c r="L314" s="43">
        <f t="shared" si="12"/>
        <v>23282.320000000003</v>
      </c>
      <c r="M314" s="16" t="s">
        <v>90</v>
      </c>
      <c r="R314" s="30"/>
    </row>
    <row r="315" spans="1:23" x14ac:dyDescent="0.3">
      <c r="A315" s="59"/>
      <c r="B315" s="109" t="s">
        <v>490</v>
      </c>
      <c r="C315" s="214" t="s">
        <v>1109</v>
      </c>
      <c r="D315" s="133" t="s">
        <v>12</v>
      </c>
      <c r="E315" s="213"/>
      <c r="F315" s="215"/>
      <c r="G315" s="214"/>
      <c r="H315" s="215"/>
      <c r="I315" s="215"/>
      <c r="J315" s="232">
        <v>-27.98</v>
      </c>
      <c r="K315" s="43">
        <f t="shared" si="15"/>
        <v>-27.98</v>
      </c>
      <c r="L315" s="43">
        <f t="shared" si="12"/>
        <v>23254.340000000004</v>
      </c>
      <c r="M315" s="16" t="s">
        <v>90</v>
      </c>
      <c r="Q315" s="30" t="s">
        <v>1187</v>
      </c>
      <c r="R315" s="30"/>
      <c r="S315" s="30"/>
      <c r="T315"/>
      <c r="U315"/>
      <c r="V315"/>
    </row>
    <row r="316" spans="1:23" x14ac:dyDescent="0.3">
      <c r="A316" s="29"/>
      <c r="B316" s="109" t="s">
        <v>490</v>
      </c>
      <c r="C316" s="4" t="s">
        <v>48</v>
      </c>
      <c r="D316" s="133" t="s">
        <v>12</v>
      </c>
      <c r="E316" s="213"/>
      <c r="F316" s="215"/>
      <c r="G316" s="214"/>
      <c r="H316" s="215"/>
      <c r="I316" s="215"/>
      <c r="J316" s="232">
        <v>-71.599999999999994</v>
      </c>
      <c r="K316" s="43">
        <f t="shared" si="15"/>
        <v>-71.599999999999994</v>
      </c>
      <c r="L316" s="43">
        <f t="shared" si="12"/>
        <v>23182.740000000005</v>
      </c>
      <c r="M316" s="16" t="s">
        <v>90</v>
      </c>
      <c r="Q316"/>
      <c r="R316"/>
      <c r="S316"/>
      <c r="T316"/>
      <c r="U316"/>
      <c r="V316"/>
    </row>
    <row r="317" spans="1:23" x14ac:dyDescent="0.3">
      <c r="A317" s="59"/>
      <c r="B317" s="109" t="s">
        <v>490</v>
      </c>
      <c r="C317" s="4" t="s">
        <v>1068</v>
      </c>
      <c r="D317" s="133" t="s">
        <v>12</v>
      </c>
      <c r="E317" s="213" t="s">
        <v>344</v>
      </c>
      <c r="F317" s="215"/>
      <c r="G317" s="214"/>
      <c r="H317" s="215"/>
      <c r="I317" s="215"/>
      <c r="J317" s="228">
        <v>-324</v>
      </c>
      <c r="K317" s="43">
        <f t="shared" si="15"/>
        <v>-324</v>
      </c>
      <c r="L317" s="43">
        <f t="shared" si="12"/>
        <v>22858.740000000005</v>
      </c>
      <c r="M317" s="18" t="s">
        <v>1201</v>
      </c>
      <c r="Q317" t="s">
        <v>584</v>
      </c>
      <c r="R317"/>
      <c r="S317"/>
      <c r="T317"/>
      <c r="U317">
        <v>27327.86</v>
      </c>
      <c r="V317"/>
    </row>
    <row r="318" spans="1:23" x14ac:dyDescent="0.3">
      <c r="A318" s="29"/>
      <c r="B318" s="109" t="s">
        <v>490</v>
      </c>
      <c r="C318" s="4" t="s">
        <v>58</v>
      </c>
      <c r="D318" s="133" t="s">
        <v>9</v>
      </c>
      <c r="E318" s="213" t="s">
        <v>344</v>
      </c>
      <c r="F318" s="215"/>
      <c r="G318" s="214"/>
      <c r="H318" s="215"/>
      <c r="I318" s="215"/>
      <c r="J318" s="235">
        <v>-99.67</v>
      </c>
      <c r="K318" s="43">
        <f t="shared" si="15"/>
        <v>-99.67</v>
      </c>
      <c r="L318" s="43">
        <f t="shared" si="12"/>
        <v>22759.070000000007</v>
      </c>
      <c r="M318" s="18" t="s">
        <v>90</v>
      </c>
      <c r="Q318" t="s">
        <v>1189</v>
      </c>
      <c r="R318"/>
      <c r="S318"/>
      <c r="T318"/>
      <c r="U318">
        <v>40</v>
      </c>
      <c r="V318" t="s">
        <v>90</v>
      </c>
    </row>
    <row r="319" spans="1:23" x14ac:dyDescent="0.3">
      <c r="A319" s="29"/>
      <c r="B319" s="109" t="s">
        <v>490</v>
      </c>
      <c r="C319" s="4" t="s">
        <v>346</v>
      </c>
      <c r="D319" s="133" t="s">
        <v>513</v>
      </c>
      <c r="E319" s="213"/>
      <c r="F319" s="215"/>
      <c r="G319" s="245"/>
      <c r="H319" s="246">
        <v>255</v>
      </c>
      <c r="I319" s="42"/>
      <c r="J319" s="42"/>
      <c r="K319" s="43">
        <f t="shared" si="15"/>
        <v>255</v>
      </c>
      <c r="L319" s="43">
        <f t="shared" si="12"/>
        <v>23014.070000000007</v>
      </c>
      <c r="M319" s="18" t="s">
        <v>90</v>
      </c>
      <c r="Q319" t="s">
        <v>1190</v>
      </c>
      <c r="R319"/>
      <c r="S319"/>
      <c r="T319" s="125"/>
      <c r="U319">
        <v>68</v>
      </c>
      <c r="V319" t="s">
        <v>1201</v>
      </c>
      <c r="W319"/>
    </row>
    <row r="320" spans="1:23" x14ac:dyDescent="0.3">
      <c r="A320" s="29"/>
      <c r="B320" s="109" t="s">
        <v>490</v>
      </c>
      <c r="C320" s="4" t="s">
        <v>1176</v>
      </c>
      <c r="D320" s="132" t="s">
        <v>512</v>
      </c>
      <c r="E320" s="120"/>
      <c r="F320" s="27"/>
      <c r="G320" s="120"/>
      <c r="H320" s="42">
        <v>51</v>
      </c>
      <c r="I320" s="42"/>
      <c r="J320" s="42"/>
      <c r="K320" s="43">
        <f t="shared" si="15"/>
        <v>51</v>
      </c>
      <c r="L320" s="43">
        <f t="shared" si="12"/>
        <v>23065.070000000007</v>
      </c>
      <c r="M320" s="18" t="s">
        <v>412</v>
      </c>
      <c r="Q320" s="4" t="s">
        <v>1191</v>
      </c>
      <c r="U320" s="15">
        <v>8</v>
      </c>
      <c r="V320" s="18" t="s">
        <v>90</v>
      </c>
      <c r="W320"/>
    </row>
    <row r="321" spans="1:24" x14ac:dyDescent="0.3">
      <c r="A321" s="29"/>
      <c r="B321" s="109" t="s">
        <v>490</v>
      </c>
      <c r="C321" s="4" t="s">
        <v>1176</v>
      </c>
      <c r="D321" s="132" t="s">
        <v>500</v>
      </c>
      <c r="E321" s="121" t="s">
        <v>791</v>
      </c>
      <c r="F321" s="27"/>
      <c r="G321" s="210"/>
      <c r="H321" s="49">
        <v>50</v>
      </c>
      <c r="I321" s="42"/>
      <c r="J321" s="42"/>
      <c r="K321" s="43">
        <f t="shared" si="15"/>
        <v>50</v>
      </c>
      <c r="L321" s="43">
        <f t="shared" si="12"/>
        <v>23115.070000000007</v>
      </c>
      <c r="M321" s="18" t="s">
        <v>412</v>
      </c>
      <c r="Q321" s="4" t="s">
        <v>670</v>
      </c>
      <c r="U321">
        <v>51</v>
      </c>
      <c r="V321" t="s">
        <v>90</v>
      </c>
      <c r="W321"/>
    </row>
    <row r="322" spans="1:24" x14ac:dyDescent="0.3">
      <c r="A322" s="29"/>
      <c r="B322" s="109" t="s">
        <v>490</v>
      </c>
      <c r="C322" s="4" t="s">
        <v>1177</v>
      </c>
      <c r="D322" s="133" t="s">
        <v>623</v>
      </c>
      <c r="E322" s="120"/>
      <c r="F322" s="27"/>
      <c r="G322" s="120"/>
      <c r="H322" s="42"/>
      <c r="I322" s="42"/>
      <c r="J322" s="42">
        <v>-25.71</v>
      </c>
      <c r="K322" s="43">
        <f t="shared" si="15"/>
        <v>-25.71</v>
      </c>
      <c r="L322" s="43">
        <f t="shared" si="12"/>
        <v>23089.360000000008</v>
      </c>
      <c r="M322" s="18" t="s">
        <v>90</v>
      </c>
      <c r="Q322" s="4" t="s">
        <v>1192</v>
      </c>
      <c r="U322">
        <v>110</v>
      </c>
      <c r="V322" t="s">
        <v>90</v>
      </c>
      <c r="W322"/>
    </row>
    <row r="323" spans="1:24" x14ac:dyDescent="0.3">
      <c r="A323" s="29"/>
      <c r="B323" s="109" t="s">
        <v>490</v>
      </c>
      <c r="C323" s="4" t="s">
        <v>1178</v>
      </c>
      <c r="D323" s="132" t="s">
        <v>512</v>
      </c>
      <c r="E323" s="120"/>
      <c r="F323" s="27"/>
      <c r="G323" s="33"/>
      <c r="H323" s="42">
        <v>40</v>
      </c>
      <c r="I323" s="42"/>
      <c r="J323" s="42"/>
      <c r="K323" s="43">
        <f t="shared" si="15"/>
        <v>40</v>
      </c>
      <c r="L323" s="43">
        <f t="shared" si="12"/>
        <v>23129.360000000008</v>
      </c>
      <c r="M323" s="4" t="s">
        <v>1201</v>
      </c>
      <c r="Q323" s="4"/>
      <c r="U323"/>
      <c r="V323"/>
    </row>
    <row r="324" spans="1:24" x14ac:dyDescent="0.3">
      <c r="A324" s="29"/>
      <c r="B324" s="109" t="s">
        <v>490</v>
      </c>
      <c r="C324" s="4" t="s">
        <v>1179</v>
      </c>
      <c r="D324" s="132" t="s">
        <v>512</v>
      </c>
      <c r="E324" s="120"/>
      <c r="F324" s="27"/>
      <c r="G324" s="120"/>
      <c r="H324" s="42">
        <v>68</v>
      </c>
      <c r="I324" s="42"/>
      <c r="J324" s="42"/>
      <c r="K324" s="43">
        <f t="shared" si="15"/>
        <v>68</v>
      </c>
      <c r="L324" s="43">
        <f t="shared" ref="L324:L391" si="16">L323+K324</f>
        <v>23197.360000000008</v>
      </c>
      <c r="M324" s="4" t="s">
        <v>90</v>
      </c>
      <c r="Q324" s="4" t="s">
        <v>1193</v>
      </c>
      <c r="U324">
        <v>130</v>
      </c>
      <c r="V324" t="s">
        <v>90</v>
      </c>
      <c r="W324"/>
    </row>
    <row r="325" spans="1:24" x14ac:dyDescent="0.3">
      <c r="A325" s="29"/>
      <c r="B325" s="109" t="s">
        <v>490</v>
      </c>
      <c r="C325" s="4" t="s">
        <v>1153</v>
      </c>
      <c r="D325" s="112" t="s">
        <v>504</v>
      </c>
      <c r="E325" s="121" t="s">
        <v>1180</v>
      </c>
      <c r="F325" s="27"/>
      <c r="G325" s="33">
        <v>500787</v>
      </c>
      <c r="H325" s="42"/>
      <c r="I325" s="42"/>
      <c r="J325" s="49">
        <v>-42</v>
      </c>
      <c r="K325" s="43">
        <f t="shared" si="15"/>
        <v>-42</v>
      </c>
      <c r="L325" s="43">
        <f t="shared" si="16"/>
        <v>23155.360000000008</v>
      </c>
      <c r="M325" s="4" t="s">
        <v>90</v>
      </c>
      <c r="Q325" s="4" t="s">
        <v>1194</v>
      </c>
      <c r="U325">
        <v>135</v>
      </c>
      <c r="V325" t="s">
        <v>90</v>
      </c>
    </row>
    <row r="326" spans="1:24" x14ac:dyDescent="0.3">
      <c r="A326" s="29"/>
      <c r="B326" s="109" t="s">
        <v>490</v>
      </c>
      <c r="C326" s="4" t="s">
        <v>174</v>
      </c>
      <c r="D326" s="133" t="s">
        <v>513</v>
      </c>
      <c r="E326" s="120" t="s">
        <v>1182</v>
      </c>
      <c r="F326" s="60"/>
      <c r="G326" s="120"/>
      <c r="H326" s="51">
        <v>3748.5</v>
      </c>
      <c r="I326" s="42"/>
      <c r="J326" s="42"/>
      <c r="K326" s="43">
        <f t="shared" si="15"/>
        <v>3748.5</v>
      </c>
      <c r="L326" s="43">
        <f t="shared" si="16"/>
        <v>26903.860000000008</v>
      </c>
      <c r="M326" s="4" t="s">
        <v>90</v>
      </c>
      <c r="Q326" s="244"/>
      <c r="V326"/>
    </row>
    <row r="327" spans="1:24" x14ac:dyDescent="0.3">
      <c r="A327" s="29"/>
      <c r="B327" s="109" t="s">
        <v>490</v>
      </c>
      <c r="C327" s="4" t="s">
        <v>1184</v>
      </c>
      <c r="D327" s="132" t="s">
        <v>512</v>
      </c>
      <c r="E327" s="168"/>
      <c r="F327" s="27"/>
      <c r="G327" s="33"/>
      <c r="H327" s="42">
        <v>8</v>
      </c>
      <c r="I327" s="42"/>
      <c r="J327" s="42"/>
      <c r="K327" s="43">
        <f t="shared" si="15"/>
        <v>8</v>
      </c>
      <c r="L327" s="43">
        <f t="shared" si="16"/>
        <v>26911.860000000008</v>
      </c>
      <c r="M327" s="18" t="s">
        <v>90</v>
      </c>
      <c r="Q327" t="s">
        <v>586</v>
      </c>
      <c r="R327"/>
      <c r="S327"/>
      <c r="T327" s="125"/>
      <c r="U327"/>
    </row>
    <row r="328" spans="1:24" x14ac:dyDescent="0.3">
      <c r="A328" s="59"/>
      <c r="B328" s="109" t="s">
        <v>490</v>
      </c>
      <c r="C328" s="4" t="s">
        <v>604</v>
      </c>
      <c r="D328" s="132" t="s">
        <v>512</v>
      </c>
      <c r="E328" s="33"/>
      <c r="F328" s="27"/>
      <c r="G328" s="33"/>
      <c r="H328" s="42">
        <v>51</v>
      </c>
      <c r="I328" s="42"/>
      <c r="J328" s="170"/>
      <c r="K328" s="43">
        <f t="shared" si="15"/>
        <v>51</v>
      </c>
      <c r="L328" s="43">
        <f t="shared" si="16"/>
        <v>26962.860000000008</v>
      </c>
      <c r="M328" s="18" t="s">
        <v>1201</v>
      </c>
      <c r="Q328">
        <v>500763</v>
      </c>
      <c r="R328"/>
      <c r="S328"/>
      <c r="T328"/>
      <c r="U328">
        <v>-50</v>
      </c>
      <c r="W328"/>
    </row>
    <row r="329" spans="1:24" x14ac:dyDescent="0.3">
      <c r="A329" s="29"/>
      <c r="B329" s="109" t="s">
        <v>490</v>
      </c>
      <c r="C329" s="4" t="s">
        <v>159</v>
      </c>
      <c r="D329" s="132" t="s">
        <v>512</v>
      </c>
      <c r="E329" s="33"/>
      <c r="F329" s="27"/>
      <c r="G329" s="33"/>
      <c r="H329" s="42">
        <v>8</v>
      </c>
      <c r="I329" s="42"/>
      <c r="J329" s="42"/>
      <c r="K329" s="43">
        <f t="shared" si="15"/>
        <v>8</v>
      </c>
      <c r="L329" s="43">
        <f t="shared" si="16"/>
        <v>26970.860000000008</v>
      </c>
      <c r="M329" s="18" t="s">
        <v>1201</v>
      </c>
      <c r="Q329">
        <v>500781</v>
      </c>
      <c r="R329"/>
      <c r="S329"/>
      <c r="T329"/>
      <c r="U329">
        <v>-50</v>
      </c>
      <c r="W329"/>
    </row>
    <row r="330" spans="1:24" x14ac:dyDescent="0.3">
      <c r="A330" s="29"/>
      <c r="B330" s="109" t="s">
        <v>490</v>
      </c>
      <c r="C330" s="4" t="s">
        <v>1183</v>
      </c>
      <c r="D330" s="133" t="s">
        <v>512</v>
      </c>
      <c r="E330" s="33"/>
      <c r="F330" s="27"/>
      <c r="G330" s="33"/>
      <c r="H330" s="42">
        <v>60</v>
      </c>
      <c r="I330" s="42"/>
      <c r="J330" s="42"/>
      <c r="K330" s="43">
        <f t="shared" si="15"/>
        <v>60</v>
      </c>
      <c r="L330" s="43">
        <f t="shared" si="16"/>
        <v>27030.860000000008</v>
      </c>
      <c r="M330" s="18" t="s">
        <v>1201</v>
      </c>
      <c r="Q330" s="244" t="s">
        <v>1168</v>
      </c>
      <c r="U330">
        <v>-50</v>
      </c>
      <c r="V330" t="s">
        <v>1201</v>
      </c>
    </row>
    <row r="331" spans="1:24" x14ac:dyDescent="0.3">
      <c r="A331" s="29"/>
      <c r="B331" s="109" t="s">
        <v>490</v>
      </c>
      <c r="C331" s="4" t="s">
        <v>1183</v>
      </c>
      <c r="D331" s="132" t="s">
        <v>500</v>
      </c>
      <c r="E331" s="121" t="s">
        <v>860</v>
      </c>
      <c r="F331" s="27"/>
      <c r="G331" s="33"/>
      <c r="H331" s="49">
        <v>50</v>
      </c>
      <c r="I331" s="42"/>
      <c r="J331" s="42"/>
      <c r="K331" s="43">
        <f t="shared" si="15"/>
        <v>50</v>
      </c>
      <c r="L331" s="43">
        <f t="shared" si="16"/>
        <v>27080.860000000008</v>
      </c>
      <c r="M331" s="18" t="s">
        <v>90</v>
      </c>
      <c r="Q331" s="244"/>
      <c r="U331"/>
      <c r="V331"/>
    </row>
    <row r="332" spans="1:24" x14ac:dyDescent="0.3">
      <c r="A332" s="29"/>
      <c r="B332" s="109" t="s">
        <v>490</v>
      </c>
      <c r="C332" s="4" t="s">
        <v>1185</v>
      </c>
      <c r="D332" s="132" t="s">
        <v>500</v>
      </c>
      <c r="E332" s="121" t="s">
        <v>814</v>
      </c>
      <c r="F332" s="27"/>
      <c r="G332" s="210"/>
      <c r="H332" s="49">
        <v>50</v>
      </c>
      <c r="I332" s="42"/>
      <c r="J332" s="42"/>
      <c r="K332" s="43">
        <f t="shared" si="15"/>
        <v>50</v>
      </c>
      <c r="L332" s="43">
        <f t="shared" si="16"/>
        <v>27130.860000000008</v>
      </c>
      <c r="M332" s="18" t="s">
        <v>90</v>
      </c>
      <c r="Q332" t="s">
        <v>1188</v>
      </c>
      <c r="R332"/>
      <c r="S332"/>
      <c r="T332"/>
      <c r="U332">
        <v>-324</v>
      </c>
      <c r="V332" t="s">
        <v>90</v>
      </c>
    </row>
    <row r="333" spans="1:24" x14ac:dyDescent="0.3">
      <c r="A333" s="29"/>
      <c r="B333" s="109" t="s">
        <v>490</v>
      </c>
      <c r="C333" s="4" t="s">
        <v>1186</v>
      </c>
      <c r="D333" s="133" t="s">
        <v>512</v>
      </c>
      <c r="E333" s="33"/>
      <c r="F333" s="27"/>
      <c r="G333" s="33"/>
      <c r="H333" s="42">
        <v>80</v>
      </c>
      <c r="I333" s="42"/>
      <c r="J333" s="42"/>
      <c r="K333" s="43">
        <f t="shared" si="15"/>
        <v>80</v>
      </c>
      <c r="L333" s="43">
        <f t="shared" si="16"/>
        <v>27210.860000000008</v>
      </c>
      <c r="M333" s="18" t="s">
        <v>1201</v>
      </c>
      <c r="Q333" t="s">
        <v>11</v>
      </c>
      <c r="R333"/>
      <c r="S333"/>
      <c r="T333" s="125"/>
      <c r="U333" s="125"/>
      <c r="V333"/>
      <c r="W333"/>
    </row>
    <row r="334" spans="1:24" x14ac:dyDescent="0.3">
      <c r="A334" s="29"/>
      <c r="B334" s="109" t="s">
        <v>490</v>
      </c>
      <c r="C334" s="4" t="s">
        <v>1186</v>
      </c>
      <c r="D334" s="132" t="s">
        <v>500</v>
      </c>
      <c r="E334" s="121" t="s">
        <v>815</v>
      </c>
      <c r="F334" s="27"/>
      <c r="G334" s="207" t="s">
        <v>324</v>
      </c>
      <c r="H334" s="49">
        <v>50</v>
      </c>
      <c r="I334" s="42"/>
      <c r="J334" s="42"/>
      <c r="K334" s="43">
        <f t="shared" si="15"/>
        <v>50</v>
      </c>
      <c r="L334" s="43">
        <f t="shared" si="16"/>
        <v>27260.860000000008</v>
      </c>
      <c r="M334" s="18" t="s">
        <v>1201</v>
      </c>
    </row>
    <row r="335" spans="1:24" x14ac:dyDescent="0.3">
      <c r="A335" s="29"/>
      <c r="B335" s="109" t="s">
        <v>490</v>
      </c>
      <c r="C335" s="4" t="s">
        <v>859</v>
      </c>
      <c r="D335" s="133" t="s">
        <v>512</v>
      </c>
      <c r="E335" s="33"/>
      <c r="F335" s="27"/>
      <c r="G335" s="33"/>
      <c r="H335" s="42">
        <v>85</v>
      </c>
      <c r="I335" s="42"/>
      <c r="J335" s="42"/>
      <c r="K335" s="43">
        <f t="shared" si="15"/>
        <v>85</v>
      </c>
      <c r="L335" s="43">
        <f t="shared" si="16"/>
        <v>27345.860000000008</v>
      </c>
      <c r="M335" s="18" t="s">
        <v>1201</v>
      </c>
      <c r="Q335" t="s">
        <v>652</v>
      </c>
      <c r="R335"/>
      <c r="S335"/>
      <c r="T335"/>
      <c r="U335" s="23">
        <f>SUM(U317:U333)</f>
        <v>27395.86</v>
      </c>
      <c r="V335" t="s">
        <v>588</v>
      </c>
      <c r="X335" s="125"/>
    </row>
    <row r="336" spans="1:24" x14ac:dyDescent="0.3">
      <c r="A336" s="29"/>
      <c r="B336" s="109" t="s">
        <v>490</v>
      </c>
      <c r="C336" s="4" t="s">
        <v>859</v>
      </c>
      <c r="D336" s="132" t="s">
        <v>500</v>
      </c>
      <c r="E336" s="121" t="s">
        <v>817</v>
      </c>
      <c r="F336" s="27"/>
      <c r="G336" s="207" t="s">
        <v>324</v>
      </c>
      <c r="H336" s="49">
        <v>50</v>
      </c>
      <c r="I336" s="42"/>
      <c r="J336" s="42"/>
      <c r="K336" s="43">
        <f t="shared" si="15"/>
        <v>50</v>
      </c>
      <c r="L336" s="75">
        <f t="shared" si="16"/>
        <v>27395.860000000008</v>
      </c>
      <c r="M336" s="18" t="s">
        <v>1201</v>
      </c>
    </row>
    <row r="337" spans="1:24" x14ac:dyDescent="0.3">
      <c r="A337" s="29"/>
      <c r="B337" s="109"/>
      <c r="C337" s="11"/>
      <c r="D337" s="11"/>
      <c r="E337" s="33"/>
      <c r="F337" s="27"/>
      <c r="G337" s="33"/>
      <c r="H337" s="42"/>
      <c r="I337" s="42"/>
      <c r="J337" s="42"/>
      <c r="K337" s="43">
        <f t="shared" si="15"/>
        <v>0</v>
      </c>
      <c r="L337" s="43">
        <f t="shared" si="16"/>
        <v>27395.860000000008</v>
      </c>
    </row>
    <row r="338" spans="1:24" x14ac:dyDescent="0.3">
      <c r="A338" s="28" t="s">
        <v>400</v>
      </c>
      <c r="B338" s="105"/>
      <c r="D338" s="15"/>
      <c r="E338" s="33"/>
      <c r="F338" s="52"/>
      <c r="G338" s="33"/>
      <c r="H338" s="42"/>
      <c r="I338" s="42"/>
      <c r="J338" s="42"/>
      <c r="K338" s="43">
        <f t="shared" si="15"/>
        <v>0</v>
      </c>
      <c r="L338" s="43">
        <f t="shared" si="16"/>
        <v>27395.860000000008</v>
      </c>
      <c r="M338" s="16"/>
    </row>
    <row r="339" spans="1:24" x14ac:dyDescent="0.3">
      <c r="A339" s="12"/>
      <c r="B339" s="105" t="s">
        <v>400</v>
      </c>
      <c r="C339" s="4" t="s">
        <v>299</v>
      </c>
      <c r="D339" s="133" t="s">
        <v>301</v>
      </c>
      <c r="E339" s="213"/>
      <c r="F339" s="213"/>
      <c r="G339" s="214"/>
      <c r="H339" s="215"/>
      <c r="I339" s="215"/>
      <c r="J339" s="232">
        <v>-37.68</v>
      </c>
      <c r="K339" s="43">
        <f t="shared" si="15"/>
        <v>-37.68</v>
      </c>
      <c r="L339" s="43">
        <f t="shared" si="16"/>
        <v>27358.180000000008</v>
      </c>
      <c r="M339" s="18" t="s">
        <v>90</v>
      </c>
      <c r="S339" s="57"/>
    </row>
    <row r="340" spans="1:24" x14ac:dyDescent="0.3">
      <c r="A340" s="12"/>
      <c r="B340" s="105" t="s">
        <v>400</v>
      </c>
      <c r="C340" s="4" t="s">
        <v>607</v>
      </c>
      <c r="D340" s="133" t="s">
        <v>11</v>
      </c>
      <c r="E340" s="213"/>
      <c r="F340" s="213"/>
      <c r="G340" s="214"/>
      <c r="H340" s="215"/>
      <c r="I340" s="215"/>
      <c r="J340" s="232">
        <v>-200</v>
      </c>
      <c r="K340" s="43">
        <f t="shared" si="15"/>
        <v>-200</v>
      </c>
      <c r="L340" s="43">
        <f t="shared" si="16"/>
        <v>27158.180000000008</v>
      </c>
      <c r="M340" s="18" t="s">
        <v>90</v>
      </c>
      <c r="S340" s="57"/>
    </row>
    <row r="341" spans="1:24" x14ac:dyDescent="0.3">
      <c r="A341" s="12"/>
      <c r="B341" s="105" t="s">
        <v>400</v>
      </c>
      <c r="C341" s="214" t="s">
        <v>1109</v>
      </c>
      <c r="D341" s="133" t="s">
        <v>12</v>
      </c>
      <c r="E341" s="213"/>
      <c r="F341" s="215"/>
      <c r="G341" s="214"/>
      <c r="H341" s="215"/>
      <c r="I341" s="215"/>
      <c r="J341" s="232">
        <v>-27.98</v>
      </c>
      <c r="K341" s="43">
        <f t="shared" si="15"/>
        <v>-27.98</v>
      </c>
      <c r="L341" s="43">
        <f t="shared" si="16"/>
        <v>27130.200000000008</v>
      </c>
      <c r="M341" s="18" t="s">
        <v>90</v>
      </c>
      <c r="S341" s="57"/>
    </row>
    <row r="342" spans="1:24" x14ac:dyDescent="0.3">
      <c r="A342" s="12"/>
      <c r="B342" s="105" t="s">
        <v>400</v>
      </c>
      <c r="C342" s="4" t="s">
        <v>48</v>
      </c>
      <c r="D342" s="133" t="s">
        <v>12</v>
      </c>
      <c r="E342" s="213"/>
      <c r="F342" s="215"/>
      <c r="G342" s="214"/>
      <c r="H342" s="215"/>
      <c r="I342" s="215"/>
      <c r="J342" s="232">
        <v>-71.599999999999994</v>
      </c>
      <c r="K342" s="43">
        <f t="shared" si="15"/>
        <v>-71.599999999999994</v>
      </c>
      <c r="L342" s="43">
        <f t="shared" si="16"/>
        <v>27058.600000000009</v>
      </c>
      <c r="M342" s="18" t="s">
        <v>90</v>
      </c>
      <c r="S342" s="57"/>
    </row>
    <row r="343" spans="1:24" x14ac:dyDescent="0.3">
      <c r="A343" s="26"/>
      <c r="B343" s="105" t="s">
        <v>400</v>
      </c>
      <c r="C343" s="4" t="s">
        <v>1068</v>
      </c>
      <c r="D343" s="133" t="s">
        <v>12</v>
      </c>
      <c r="E343" s="213" t="s">
        <v>863</v>
      </c>
      <c r="F343" s="215"/>
      <c r="G343" s="214"/>
      <c r="H343" s="215"/>
      <c r="I343" s="215"/>
      <c r="J343" s="228">
        <v>-291.60000000000002</v>
      </c>
      <c r="K343" s="43">
        <f t="shared" si="15"/>
        <v>-291.60000000000002</v>
      </c>
      <c r="L343" s="43">
        <f t="shared" si="16"/>
        <v>26767.000000000011</v>
      </c>
      <c r="M343" s="18" t="s">
        <v>90</v>
      </c>
      <c r="S343" s="30"/>
    </row>
    <row r="344" spans="1:24" x14ac:dyDescent="0.3">
      <c r="A344" s="26"/>
      <c r="B344" s="105" t="s">
        <v>400</v>
      </c>
      <c r="C344" s="4" t="s">
        <v>58</v>
      </c>
      <c r="D344" s="133" t="s">
        <v>9</v>
      </c>
      <c r="E344" s="213" t="s">
        <v>1195</v>
      </c>
      <c r="F344" s="215"/>
      <c r="G344" s="214"/>
      <c r="H344" s="215"/>
      <c r="I344" s="215"/>
      <c r="J344" s="235">
        <v>-104.03</v>
      </c>
      <c r="K344" s="43">
        <f t="shared" si="15"/>
        <v>-104.03</v>
      </c>
      <c r="L344" s="43">
        <f t="shared" si="16"/>
        <v>26662.970000000012</v>
      </c>
      <c r="M344" s="18" t="s">
        <v>90</v>
      </c>
      <c r="N344" s="16"/>
    </row>
    <row r="345" spans="1:24" x14ac:dyDescent="0.3">
      <c r="A345" s="12"/>
      <c r="B345" s="105" t="s">
        <v>400</v>
      </c>
      <c r="C345" s="4" t="s">
        <v>58</v>
      </c>
      <c r="D345" s="132" t="s">
        <v>8</v>
      </c>
      <c r="E345" s="120"/>
      <c r="F345" s="27"/>
      <c r="G345" s="33"/>
      <c r="H345" s="42"/>
      <c r="I345" s="42"/>
      <c r="J345" s="42">
        <v>-148.59</v>
      </c>
      <c r="K345" s="43">
        <f t="shared" si="15"/>
        <v>-148.59</v>
      </c>
      <c r="L345" s="43">
        <f t="shared" si="16"/>
        <v>26514.380000000012</v>
      </c>
      <c r="M345" s="18" t="s">
        <v>90</v>
      </c>
      <c r="N345" s="16"/>
    </row>
    <row r="346" spans="1:24" x14ac:dyDescent="0.3">
      <c r="A346" s="12"/>
      <c r="B346" s="105" t="s">
        <v>400</v>
      </c>
      <c r="C346" s="4" t="s">
        <v>1199</v>
      </c>
      <c r="D346" s="112" t="s">
        <v>504</v>
      </c>
      <c r="E346" s="121" t="s">
        <v>1200</v>
      </c>
      <c r="F346" s="27"/>
      <c r="G346" s="33">
        <v>500789</v>
      </c>
      <c r="H346" s="42"/>
      <c r="I346" s="42"/>
      <c r="J346" s="49">
        <v>-50</v>
      </c>
      <c r="K346" s="43">
        <f t="shared" si="15"/>
        <v>-50</v>
      </c>
      <c r="L346" s="43">
        <f t="shared" si="16"/>
        <v>26464.380000000012</v>
      </c>
    </row>
    <row r="347" spans="1:24" x14ac:dyDescent="0.3">
      <c r="B347" s="105" t="s">
        <v>400</v>
      </c>
      <c r="C347" s="4" t="s">
        <v>1196</v>
      </c>
      <c r="D347" s="112" t="s">
        <v>504</v>
      </c>
      <c r="E347" s="121" t="s">
        <v>1198</v>
      </c>
      <c r="F347" s="27"/>
      <c r="G347" s="33">
        <v>500790</v>
      </c>
      <c r="H347" s="42"/>
      <c r="I347" s="42"/>
      <c r="J347" s="49">
        <v>-50</v>
      </c>
      <c r="K347" s="43">
        <f t="shared" si="15"/>
        <v>-50</v>
      </c>
      <c r="L347" s="43">
        <f t="shared" si="16"/>
        <v>26414.380000000012</v>
      </c>
      <c r="V347" s="43"/>
    </row>
    <row r="348" spans="1:24" x14ac:dyDescent="0.3">
      <c r="B348" s="105" t="s">
        <v>400</v>
      </c>
      <c r="C348" s="4" t="s">
        <v>1202</v>
      </c>
      <c r="D348" s="133" t="s">
        <v>512</v>
      </c>
      <c r="E348" s="33"/>
      <c r="F348" s="52"/>
      <c r="G348" s="33"/>
      <c r="H348" s="42">
        <v>51</v>
      </c>
      <c r="I348" s="42"/>
      <c r="J348" s="42"/>
      <c r="K348" s="43">
        <f t="shared" si="15"/>
        <v>51</v>
      </c>
      <c r="L348" s="43">
        <f t="shared" si="16"/>
        <v>26465.380000000012</v>
      </c>
      <c r="M348" s="18" t="s">
        <v>412</v>
      </c>
    </row>
    <row r="349" spans="1:24" x14ac:dyDescent="0.3">
      <c r="B349" s="105" t="s">
        <v>400</v>
      </c>
      <c r="C349" s="4" t="s">
        <v>1202</v>
      </c>
      <c r="D349" s="132" t="s">
        <v>500</v>
      </c>
      <c r="E349" s="121" t="s">
        <v>823</v>
      </c>
      <c r="F349" s="52"/>
      <c r="G349" s="210"/>
      <c r="H349" s="49">
        <v>50</v>
      </c>
      <c r="I349" s="42"/>
      <c r="J349" s="42"/>
      <c r="K349" s="43">
        <f t="shared" si="15"/>
        <v>50</v>
      </c>
      <c r="L349" s="43">
        <f t="shared" si="16"/>
        <v>26515.380000000012</v>
      </c>
      <c r="M349" s="18" t="s">
        <v>412</v>
      </c>
      <c r="S349"/>
      <c r="T349"/>
      <c r="U349"/>
      <c r="V349" s="125"/>
      <c r="X349"/>
    </row>
    <row r="350" spans="1:24" x14ac:dyDescent="0.3">
      <c r="B350" s="105" t="s">
        <v>400</v>
      </c>
      <c r="C350" s="4" t="s">
        <v>1203</v>
      </c>
      <c r="D350" s="112" t="s">
        <v>504</v>
      </c>
      <c r="E350" s="121" t="s">
        <v>1197</v>
      </c>
      <c r="F350" s="27"/>
      <c r="G350" s="33">
        <v>500788</v>
      </c>
      <c r="H350" s="42"/>
      <c r="I350" s="42"/>
      <c r="J350" s="49">
        <v>-50</v>
      </c>
      <c r="K350" s="43">
        <f t="shared" ref="K350:K417" si="17">H350+J350</f>
        <v>-50</v>
      </c>
      <c r="L350" s="43">
        <f t="shared" si="16"/>
        <v>26465.380000000012</v>
      </c>
      <c r="M350" s="18" t="s">
        <v>90</v>
      </c>
      <c r="S350"/>
      <c r="V350" s="43"/>
    </row>
    <row r="351" spans="1:24" x14ac:dyDescent="0.3">
      <c r="B351" s="105" t="s">
        <v>400</v>
      </c>
      <c r="C351" s="4" t="s">
        <v>1204</v>
      </c>
      <c r="D351" s="133" t="s">
        <v>512</v>
      </c>
      <c r="E351" s="120"/>
      <c r="F351" s="52"/>
      <c r="G351" s="120"/>
      <c r="H351" s="42">
        <v>50</v>
      </c>
      <c r="I351" s="42"/>
      <c r="J351" s="42"/>
      <c r="K351" s="43">
        <f t="shared" si="17"/>
        <v>50</v>
      </c>
      <c r="L351" s="43">
        <f t="shared" si="16"/>
        <v>26515.380000000012</v>
      </c>
      <c r="M351" s="18" t="s">
        <v>90</v>
      </c>
      <c r="Q351" s="30" t="s">
        <v>1214</v>
      </c>
      <c r="R351" s="30"/>
      <c r="S351" s="30"/>
      <c r="T351"/>
      <c r="U351"/>
      <c r="V351" s="43"/>
    </row>
    <row r="352" spans="1:24" x14ac:dyDescent="0.3">
      <c r="B352" s="105" t="s">
        <v>400</v>
      </c>
      <c r="C352" s="4"/>
      <c r="D352" s="133"/>
      <c r="E352" s="33"/>
      <c r="F352" s="52"/>
      <c r="G352" s="33"/>
      <c r="H352" s="42"/>
      <c r="I352" s="42"/>
      <c r="J352" s="42"/>
      <c r="K352" s="43">
        <f t="shared" si="17"/>
        <v>0</v>
      </c>
      <c r="L352" s="43">
        <f t="shared" si="16"/>
        <v>26515.380000000012</v>
      </c>
      <c r="Q352"/>
      <c r="R352"/>
      <c r="S352"/>
      <c r="T352"/>
      <c r="U352"/>
      <c r="V352" s="43"/>
    </row>
    <row r="353" spans="1:24" x14ac:dyDescent="0.3">
      <c r="B353" s="105" t="s">
        <v>400</v>
      </c>
      <c r="C353" s="4" t="s">
        <v>1205</v>
      </c>
      <c r="D353" s="133" t="s">
        <v>623</v>
      </c>
      <c r="E353" s="33"/>
      <c r="F353" s="52"/>
      <c r="G353" s="120" t="s">
        <v>243</v>
      </c>
      <c r="H353" s="42"/>
      <c r="I353" s="42"/>
      <c r="J353" s="42">
        <v>-328</v>
      </c>
      <c r="K353" s="43">
        <f t="shared" si="17"/>
        <v>-328</v>
      </c>
      <c r="L353" s="43">
        <f t="shared" si="16"/>
        <v>26187.380000000012</v>
      </c>
      <c r="M353" s="18" t="s">
        <v>90</v>
      </c>
      <c r="Q353" t="s">
        <v>1222</v>
      </c>
      <c r="R353"/>
      <c r="S353"/>
      <c r="T353"/>
      <c r="U353">
        <v>26980.38</v>
      </c>
      <c r="W353" s="57"/>
    </row>
    <row r="354" spans="1:24" x14ac:dyDescent="0.3">
      <c r="B354" s="105" t="s">
        <v>400</v>
      </c>
      <c r="C354" s="4" t="s">
        <v>1183</v>
      </c>
      <c r="D354" s="112" t="s">
        <v>504</v>
      </c>
      <c r="E354" s="121" t="s">
        <v>904</v>
      </c>
      <c r="F354" s="52"/>
      <c r="G354" s="168" t="s">
        <v>1206</v>
      </c>
      <c r="H354" s="42"/>
      <c r="I354" s="42"/>
      <c r="J354" s="49">
        <v>-50</v>
      </c>
      <c r="K354" s="43">
        <f t="shared" si="17"/>
        <v>-50</v>
      </c>
      <c r="L354" s="43">
        <f t="shared" si="16"/>
        <v>26137.380000000012</v>
      </c>
      <c r="M354" s="18" t="s">
        <v>90</v>
      </c>
      <c r="Q354" s="4"/>
      <c r="S354"/>
    </row>
    <row r="355" spans="1:24" x14ac:dyDescent="0.3">
      <c r="B355" s="105" t="s">
        <v>400</v>
      </c>
      <c r="C355" s="4" t="s">
        <v>431</v>
      </c>
      <c r="D355" s="133" t="s">
        <v>512</v>
      </c>
      <c r="E355" s="33"/>
      <c r="F355" s="52"/>
      <c r="G355" s="33"/>
      <c r="H355" s="42">
        <v>59.5</v>
      </c>
      <c r="I355" s="42"/>
      <c r="J355" s="42"/>
      <c r="K355" s="43">
        <f t="shared" si="17"/>
        <v>59.5</v>
      </c>
      <c r="L355" s="43">
        <f t="shared" si="16"/>
        <v>26196.880000000012</v>
      </c>
      <c r="M355" s="18" t="s">
        <v>412</v>
      </c>
      <c r="Q355" s="4"/>
      <c r="S355"/>
      <c r="T355"/>
      <c r="V355" s="43"/>
      <c r="W355" s="57"/>
    </row>
    <row r="356" spans="1:24" x14ac:dyDescent="0.3">
      <c r="B356" s="105" t="s">
        <v>400</v>
      </c>
      <c r="C356" s="4" t="s">
        <v>431</v>
      </c>
      <c r="D356" s="132" t="s">
        <v>500</v>
      </c>
      <c r="E356" s="121" t="s">
        <v>824</v>
      </c>
      <c r="F356" s="52"/>
      <c r="G356" s="210"/>
      <c r="H356" s="49">
        <v>50</v>
      </c>
      <c r="I356" s="42"/>
      <c r="J356" s="42"/>
      <c r="K356" s="43">
        <f t="shared" si="17"/>
        <v>50</v>
      </c>
      <c r="L356" s="43">
        <f t="shared" si="16"/>
        <v>26246.880000000012</v>
      </c>
      <c r="M356" s="18" t="s">
        <v>412</v>
      </c>
      <c r="Q356" t="s">
        <v>586</v>
      </c>
      <c r="R356"/>
      <c r="S356"/>
      <c r="T356" s="125"/>
      <c r="U356"/>
      <c r="V356" s="43"/>
      <c r="W356"/>
    </row>
    <row r="357" spans="1:24" x14ac:dyDescent="0.3">
      <c r="B357" s="105" t="s">
        <v>400</v>
      </c>
      <c r="C357" s="4" t="s">
        <v>1207</v>
      </c>
      <c r="D357" s="133" t="s">
        <v>512</v>
      </c>
      <c r="E357" s="33"/>
      <c r="F357" s="27"/>
      <c r="G357" s="33"/>
      <c r="H357" s="42">
        <v>67</v>
      </c>
      <c r="I357" s="42"/>
      <c r="J357" s="42"/>
      <c r="K357" s="43">
        <f t="shared" si="17"/>
        <v>67</v>
      </c>
      <c r="L357" s="43">
        <f t="shared" si="16"/>
        <v>26313.880000000012</v>
      </c>
      <c r="M357" s="18" t="s">
        <v>412</v>
      </c>
      <c r="Q357" s="252" t="s">
        <v>1223</v>
      </c>
      <c r="R357"/>
      <c r="S357"/>
      <c r="T357"/>
      <c r="U357">
        <v>-50</v>
      </c>
      <c r="V357" s="43"/>
      <c r="X357"/>
    </row>
    <row r="358" spans="1:24" x14ac:dyDescent="0.3">
      <c r="B358" s="105" t="s">
        <v>400</v>
      </c>
      <c r="C358" s="4" t="s">
        <v>1207</v>
      </c>
      <c r="D358" s="132" t="s">
        <v>500</v>
      </c>
      <c r="E358" s="121" t="s">
        <v>825</v>
      </c>
      <c r="F358" s="52"/>
      <c r="G358" s="210"/>
      <c r="H358" s="49">
        <v>50</v>
      </c>
      <c r="I358" s="42"/>
      <c r="J358" s="42"/>
      <c r="K358" s="43">
        <f t="shared" si="17"/>
        <v>50</v>
      </c>
      <c r="L358" s="43">
        <f t="shared" si="16"/>
        <v>26363.880000000012</v>
      </c>
      <c r="M358" s="18" t="s">
        <v>412</v>
      </c>
      <c r="Q358" s="252" t="s">
        <v>1122</v>
      </c>
      <c r="R358"/>
      <c r="S358"/>
      <c r="T358"/>
      <c r="U358">
        <v>-50</v>
      </c>
      <c r="V358" s="254" t="s">
        <v>1231</v>
      </c>
      <c r="W358" s="57"/>
      <c r="X358"/>
    </row>
    <row r="359" spans="1:24" x14ac:dyDescent="0.3">
      <c r="A359" s="12"/>
      <c r="B359" s="105" t="s">
        <v>400</v>
      </c>
      <c r="C359" s="4" t="s">
        <v>1134</v>
      </c>
      <c r="D359" s="112" t="s">
        <v>504</v>
      </c>
      <c r="E359" s="121" t="s">
        <v>1211</v>
      </c>
      <c r="F359" s="27"/>
      <c r="G359" s="168" t="s">
        <v>1208</v>
      </c>
      <c r="H359" s="42"/>
      <c r="I359" s="42"/>
      <c r="J359" s="49">
        <v>-50</v>
      </c>
      <c r="K359" s="43">
        <f t="shared" si="17"/>
        <v>-50</v>
      </c>
      <c r="L359" s="43">
        <f t="shared" si="16"/>
        <v>26313.880000000012</v>
      </c>
      <c r="Q359" s="4"/>
      <c r="S359"/>
      <c r="T359"/>
      <c r="V359" s="43"/>
      <c r="X359"/>
    </row>
    <row r="360" spans="1:24" x14ac:dyDescent="0.3">
      <c r="A360" s="12"/>
      <c r="B360" s="105" t="s">
        <v>400</v>
      </c>
      <c r="C360" s="4" t="s">
        <v>1202</v>
      </c>
      <c r="D360" s="112" t="s">
        <v>504</v>
      </c>
      <c r="E360" s="121" t="s">
        <v>1210</v>
      </c>
      <c r="F360" s="27"/>
      <c r="G360" s="168" t="s">
        <v>1209</v>
      </c>
      <c r="H360" s="42"/>
      <c r="I360" s="42"/>
      <c r="J360" s="49">
        <v>-50</v>
      </c>
      <c r="K360" s="43">
        <f t="shared" si="17"/>
        <v>-50</v>
      </c>
      <c r="L360" s="43">
        <f t="shared" si="16"/>
        <v>26263.880000000012</v>
      </c>
      <c r="M360" s="18" t="s">
        <v>1257</v>
      </c>
      <c r="O360" s="18"/>
      <c r="Q360" s="244" t="s">
        <v>1220</v>
      </c>
      <c r="S360"/>
      <c r="U360">
        <v>-50</v>
      </c>
      <c r="V360" s="43"/>
    </row>
    <row r="361" spans="1:24" x14ac:dyDescent="0.3">
      <c r="A361" s="53"/>
      <c r="B361" s="105" t="s">
        <v>400</v>
      </c>
      <c r="C361" s="4" t="s">
        <v>1212</v>
      </c>
      <c r="D361" s="133" t="s">
        <v>512</v>
      </c>
      <c r="E361" s="120"/>
      <c r="F361" s="27"/>
      <c r="G361" s="33"/>
      <c r="H361" s="42">
        <v>8</v>
      </c>
      <c r="I361" s="42"/>
      <c r="J361" s="42"/>
      <c r="K361" s="43">
        <f t="shared" si="17"/>
        <v>8</v>
      </c>
      <c r="L361" s="43">
        <f t="shared" si="16"/>
        <v>26271.880000000012</v>
      </c>
      <c r="M361" s="18" t="s">
        <v>412</v>
      </c>
      <c r="Q361" s="244" t="s">
        <v>1219</v>
      </c>
      <c r="S361"/>
      <c r="U361">
        <v>-50</v>
      </c>
      <c r="V361" s="43"/>
    </row>
    <row r="362" spans="1:24" x14ac:dyDescent="0.3">
      <c r="A362" s="12"/>
      <c r="B362" s="105" t="s">
        <v>400</v>
      </c>
      <c r="C362" s="4" t="s">
        <v>1213</v>
      </c>
      <c r="D362" s="133" t="s">
        <v>512</v>
      </c>
      <c r="E362" s="33"/>
      <c r="F362" s="27"/>
      <c r="G362" s="120"/>
      <c r="H362" s="42">
        <v>51</v>
      </c>
      <c r="I362" s="42"/>
      <c r="J362" s="42"/>
      <c r="K362" s="43">
        <f t="shared" si="17"/>
        <v>51</v>
      </c>
      <c r="L362" s="43">
        <f t="shared" si="16"/>
        <v>26322.880000000012</v>
      </c>
      <c r="M362" s="18" t="s">
        <v>412</v>
      </c>
      <c r="Q362" s="244" t="s">
        <v>1208</v>
      </c>
      <c r="S362"/>
      <c r="U362">
        <v>-50</v>
      </c>
      <c r="W362" s="57"/>
      <c r="X362"/>
    </row>
    <row r="363" spans="1:24" x14ac:dyDescent="0.3">
      <c r="B363" s="105" t="s">
        <v>400</v>
      </c>
      <c r="C363" s="4" t="s">
        <v>1213</v>
      </c>
      <c r="D363" s="132" t="s">
        <v>500</v>
      </c>
      <c r="E363" s="121" t="s">
        <v>840</v>
      </c>
      <c r="F363" s="27"/>
      <c r="G363" s="210"/>
      <c r="H363" s="49">
        <v>50</v>
      </c>
      <c r="I363" s="42"/>
      <c r="J363" s="42"/>
      <c r="K363" s="43">
        <f t="shared" si="17"/>
        <v>50</v>
      </c>
      <c r="L363" s="43">
        <f t="shared" si="16"/>
        <v>26372.880000000012</v>
      </c>
      <c r="M363" s="18" t="s">
        <v>412</v>
      </c>
      <c r="Q363" s="244" t="s">
        <v>1209</v>
      </c>
      <c r="S363"/>
      <c r="U363">
        <v>-50</v>
      </c>
    </row>
    <row r="364" spans="1:24" x14ac:dyDescent="0.3">
      <c r="B364" s="105" t="s">
        <v>400</v>
      </c>
      <c r="C364" s="4" t="s">
        <v>1216</v>
      </c>
      <c r="D364" s="133" t="s">
        <v>512</v>
      </c>
      <c r="E364" s="168" t="s">
        <v>988</v>
      </c>
      <c r="F364" s="27"/>
      <c r="G364" s="210"/>
      <c r="H364" s="42">
        <v>80</v>
      </c>
      <c r="I364" s="42"/>
      <c r="J364" s="42"/>
      <c r="K364" s="43">
        <f t="shared" si="17"/>
        <v>80</v>
      </c>
      <c r="L364" s="43">
        <f t="shared" si="16"/>
        <v>26452.880000000012</v>
      </c>
      <c r="M364" s="18" t="s">
        <v>412</v>
      </c>
      <c r="S364"/>
    </row>
    <row r="365" spans="1:24" x14ac:dyDescent="0.3">
      <c r="B365" s="105" t="s">
        <v>400</v>
      </c>
      <c r="C365" s="4" t="s">
        <v>1216</v>
      </c>
      <c r="D365" s="132" t="s">
        <v>500</v>
      </c>
      <c r="E365" s="121" t="s">
        <v>845</v>
      </c>
      <c r="F365" s="27"/>
      <c r="G365" s="207" t="s">
        <v>324</v>
      </c>
      <c r="H365" s="49">
        <v>50</v>
      </c>
      <c r="I365" s="42"/>
      <c r="J365" s="42"/>
      <c r="K365" s="43">
        <f t="shared" si="17"/>
        <v>50</v>
      </c>
      <c r="L365" s="43">
        <f t="shared" si="16"/>
        <v>26502.880000000012</v>
      </c>
      <c r="M365" s="18" t="s">
        <v>412</v>
      </c>
      <c r="S365"/>
    </row>
    <row r="366" spans="1:24" x14ac:dyDescent="0.3">
      <c r="B366" s="105" t="s">
        <v>400</v>
      </c>
      <c r="C366" s="4" t="s">
        <v>1217</v>
      </c>
      <c r="D366" s="133" t="s">
        <v>512</v>
      </c>
      <c r="E366" s="120"/>
      <c r="F366" s="27"/>
      <c r="G366" s="210"/>
      <c r="H366" s="42">
        <v>68</v>
      </c>
      <c r="I366" s="42"/>
      <c r="J366" s="42"/>
      <c r="K366" s="43">
        <f t="shared" si="17"/>
        <v>68</v>
      </c>
      <c r="L366" s="43">
        <f t="shared" si="16"/>
        <v>26570.880000000012</v>
      </c>
      <c r="M366" s="18" t="s">
        <v>90</v>
      </c>
      <c r="S366"/>
    </row>
    <row r="367" spans="1:24" x14ac:dyDescent="0.3">
      <c r="A367" s="12"/>
      <c r="B367" s="105" t="s">
        <v>400</v>
      </c>
      <c r="C367" s="4" t="s">
        <v>1218</v>
      </c>
      <c r="D367" s="133" t="s">
        <v>512</v>
      </c>
      <c r="E367" s="120"/>
      <c r="F367" s="27"/>
      <c r="G367" s="33"/>
      <c r="H367" s="42">
        <v>59.5</v>
      </c>
      <c r="I367" s="42"/>
      <c r="J367" s="42"/>
      <c r="K367" s="43">
        <f t="shared" si="17"/>
        <v>59.5</v>
      </c>
      <c r="L367" s="43">
        <f t="shared" si="16"/>
        <v>26630.380000000012</v>
      </c>
      <c r="M367" s="18" t="s">
        <v>412</v>
      </c>
      <c r="S367"/>
      <c r="W367" s="23"/>
    </row>
    <row r="368" spans="1:24" x14ac:dyDescent="0.3">
      <c r="A368" s="12"/>
      <c r="B368" s="105" t="s">
        <v>400</v>
      </c>
      <c r="C368" s="4" t="s">
        <v>1218</v>
      </c>
      <c r="D368" s="132" t="s">
        <v>500</v>
      </c>
      <c r="E368" s="121" t="s">
        <v>851</v>
      </c>
      <c r="F368" s="27"/>
      <c r="H368" s="49">
        <v>50</v>
      </c>
      <c r="I368" s="42"/>
      <c r="J368" s="42"/>
      <c r="K368" s="43">
        <f t="shared" si="17"/>
        <v>50</v>
      </c>
      <c r="L368" s="75">
        <f t="shared" si="16"/>
        <v>26680.380000000012</v>
      </c>
      <c r="M368" s="18" t="s">
        <v>412</v>
      </c>
      <c r="Q368" s="4" t="s">
        <v>1215</v>
      </c>
      <c r="U368" s="15">
        <f>SUM(U353:U366)</f>
        <v>26680.38</v>
      </c>
      <c r="V368" t="s">
        <v>588</v>
      </c>
    </row>
    <row r="369" spans="1:22" x14ac:dyDescent="0.3">
      <c r="A369" s="28" t="s">
        <v>82</v>
      </c>
      <c r="B369" s="105"/>
      <c r="C369" s="11"/>
      <c r="D369" s="112"/>
      <c r="E369" s="33"/>
      <c r="F369" s="27"/>
      <c r="G369" s="33"/>
      <c r="H369" s="42"/>
      <c r="I369" s="42"/>
      <c r="J369" s="42"/>
      <c r="K369" s="43">
        <f t="shared" si="17"/>
        <v>0</v>
      </c>
      <c r="L369" s="43">
        <f t="shared" si="16"/>
        <v>26680.380000000012</v>
      </c>
      <c r="M369" s="16"/>
      <c r="N369" s="11"/>
    </row>
    <row r="370" spans="1:22" x14ac:dyDescent="0.3">
      <c r="A370" s="26"/>
      <c r="B370" s="108" t="s">
        <v>491</v>
      </c>
      <c r="C370" s="4" t="s">
        <v>431</v>
      </c>
      <c r="D370" s="112" t="s">
        <v>504</v>
      </c>
      <c r="E370" s="121" t="s">
        <v>855</v>
      </c>
      <c r="F370" s="27"/>
      <c r="G370" s="168" t="s">
        <v>1221</v>
      </c>
      <c r="H370" s="42"/>
      <c r="I370" s="42"/>
      <c r="J370" s="49">
        <v>-50</v>
      </c>
      <c r="K370" s="43">
        <f t="shared" si="17"/>
        <v>-50</v>
      </c>
      <c r="L370" s="43">
        <f t="shared" si="16"/>
        <v>26630.380000000012</v>
      </c>
      <c r="M370" s="18" t="s">
        <v>90</v>
      </c>
      <c r="N370" s="11"/>
    </row>
    <row r="371" spans="1:22" x14ac:dyDescent="0.3">
      <c r="A371" s="12"/>
      <c r="B371" s="108" t="s">
        <v>491</v>
      </c>
      <c r="C371" s="4" t="s">
        <v>604</v>
      </c>
      <c r="D371" s="133" t="s">
        <v>512</v>
      </c>
      <c r="E371" s="33"/>
      <c r="F371" s="27"/>
      <c r="G371" s="33"/>
      <c r="H371" s="42">
        <v>25.5</v>
      </c>
      <c r="I371" s="42"/>
      <c r="J371" s="170"/>
      <c r="K371" s="43">
        <f t="shared" si="17"/>
        <v>25.5</v>
      </c>
      <c r="L371" s="43">
        <f t="shared" si="16"/>
        <v>26655.880000000012</v>
      </c>
      <c r="M371" s="18" t="s">
        <v>534</v>
      </c>
      <c r="N371" s="4"/>
    </row>
    <row r="372" spans="1:22" x14ac:dyDescent="0.3">
      <c r="A372" s="12"/>
      <c r="B372" s="108" t="s">
        <v>491</v>
      </c>
      <c r="C372" s="4" t="s">
        <v>574</v>
      </c>
      <c r="D372" s="132" t="s">
        <v>500</v>
      </c>
      <c r="E372" s="121" t="s">
        <v>861</v>
      </c>
      <c r="F372" s="27"/>
      <c r="G372" s="210"/>
      <c r="H372" s="49">
        <v>50</v>
      </c>
      <c r="I372" s="42"/>
      <c r="J372" s="42"/>
      <c r="K372" s="43">
        <f t="shared" si="17"/>
        <v>50</v>
      </c>
      <c r="L372" s="43">
        <f t="shared" si="16"/>
        <v>26705.880000000012</v>
      </c>
      <c r="M372" s="18" t="s">
        <v>534</v>
      </c>
      <c r="N372" s="11"/>
    </row>
    <row r="373" spans="1:22" x14ac:dyDescent="0.3">
      <c r="A373" s="12"/>
      <c r="B373" s="108" t="s">
        <v>491</v>
      </c>
      <c r="C373" s="4" t="s">
        <v>574</v>
      </c>
      <c r="D373" s="133" t="s">
        <v>512</v>
      </c>
      <c r="E373" s="33"/>
      <c r="F373" s="27"/>
      <c r="G373" s="33"/>
      <c r="H373" s="42">
        <v>11.33</v>
      </c>
      <c r="I373" s="42"/>
      <c r="J373" s="42"/>
      <c r="K373" s="43">
        <f t="shared" si="17"/>
        <v>11.33</v>
      </c>
      <c r="L373" s="43">
        <f t="shared" si="16"/>
        <v>26717.210000000014</v>
      </c>
      <c r="M373" s="16" t="s">
        <v>534</v>
      </c>
      <c r="N373" s="11"/>
    </row>
    <row r="374" spans="1:22" x14ac:dyDescent="0.3">
      <c r="A374" s="12"/>
      <c r="B374" s="108" t="s">
        <v>491</v>
      </c>
      <c r="C374" s="4" t="s">
        <v>299</v>
      </c>
      <c r="D374" s="133" t="s">
        <v>301</v>
      </c>
      <c r="E374" s="213"/>
      <c r="F374" s="213"/>
      <c r="G374" s="214"/>
      <c r="H374" s="215"/>
      <c r="I374" s="215"/>
      <c r="J374" s="232">
        <v>-37.68</v>
      </c>
      <c r="K374" s="43">
        <f t="shared" si="17"/>
        <v>-37.68</v>
      </c>
      <c r="L374" s="43">
        <f t="shared" si="16"/>
        <v>26679.530000000013</v>
      </c>
      <c r="M374" s="18" t="s">
        <v>90</v>
      </c>
      <c r="N374" s="11"/>
    </row>
    <row r="375" spans="1:22" x14ac:dyDescent="0.3">
      <c r="A375" s="12"/>
      <c r="B375" s="108" t="s">
        <v>491</v>
      </c>
      <c r="C375" s="4" t="s">
        <v>607</v>
      </c>
      <c r="D375" s="133" t="s">
        <v>11</v>
      </c>
      <c r="E375" s="213"/>
      <c r="F375" s="213"/>
      <c r="G375" s="214"/>
      <c r="H375" s="215"/>
      <c r="I375" s="215"/>
      <c r="J375" s="232">
        <v>-200</v>
      </c>
      <c r="K375" s="43">
        <f t="shared" si="17"/>
        <v>-200</v>
      </c>
      <c r="L375" s="43">
        <f t="shared" si="16"/>
        <v>26479.530000000013</v>
      </c>
      <c r="M375" s="18" t="s">
        <v>90</v>
      </c>
    </row>
    <row r="376" spans="1:22" x14ac:dyDescent="0.3">
      <c r="A376" s="12"/>
      <c r="B376" s="108" t="s">
        <v>491</v>
      </c>
      <c r="C376" s="214" t="s">
        <v>1109</v>
      </c>
      <c r="D376" s="133" t="s">
        <v>12</v>
      </c>
      <c r="E376" s="213"/>
      <c r="F376" s="215"/>
      <c r="G376" s="214"/>
      <c r="H376" s="215"/>
      <c r="I376" s="215"/>
      <c r="J376" s="232">
        <v>-44.1</v>
      </c>
      <c r="K376" s="43">
        <f t="shared" si="17"/>
        <v>-44.1</v>
      </c>
      <c r="L376" s="43">
        <f t="shared" si="16"/>
        <v>26435.430000000015</v>
      </c>
      <c r="M376" s="18" t="s">
        <v>90</v>
      </c>
      <c r="S376" s="57"/>
    </row>
    <row r="377" spans="1:22" x14ac:dyDescent="0.3">
      <c r="A377" s="12"/>
      <c r="B377" s="108" t="s">
        <v>491</v>
      </c>
      <c r="C377" s="4" t="s">
        <v>48</v>
      </c>
      <c r="D377" s="133" t="s">
        <v>12</v>
      </c>
      <c r="E377" s="213"/>
      <c r="F377" s="215"/>
      <c r="G377" s="214"/>
      <c r="H377" s="215"/>
      <c r="I377" s="215"/>
      <c r="J377" s="232">
        <v>-71.599999999999994</v>
      </c>
      <c r="K377" s="43">
        <f t="shared" si="17"/>
        <v>-71.599999999999994</v>
      </c>
      <c r="L377" s="43">
        <f t="shared" si="16"/>
        <v>26363.830000000016</v>
      </c>
      <c r="M377" s="18" t="s">
        <v>90</v>
      </c>
      <c r="S377" s="57"/>
    </row>
    <row r="378" spans="1:22" x14ac:dyDescent="0.3">
      <c r="A378" s="12"/>
      <c r="B378" s="108" t="s">
        <v>491</v>
      </c>
      <c r="C378" s="4" t="s">
        <v>1068</v>
      </c>
      <c r="D378" s="133" t="s">
        <v>12</v>
      </c>
      <c r="E378" s="213" t="s">
        <v>897</v>
      </c>
      <c r="F378" s="215"/>
      <c r="G378" s="214"/>
      <c r="H378" s="215"/>
      <c r="I378" s="215"/>
      <c r="J378" s="228">
        <v>-364.5</v>
      </c>
      <c r="K378" s="43">
        <f t="shared" si="17"/>
        <v>-364.5</v>
      </c>
      <c r="L378" s="43">
        <f t="shared" si="16"/>
        <v>25999.330000000016</v>
      </c>
      <c r="M378" s="16"/>
    </row>
    <row r="379" spans="1:22" x14ac:dyDescent="0.3">
      <c r="A379" s="12"/>
      <c r="B379" s="108" t="s">
        <v>491</v>
      </c>
      <c r="C379" s="4" t="s">
        <v>58</v>
      </c>
      <c r="D379" s="133" t="s">
        <v>9</v>
      </c>
      <c r="E379" s="213" t="s">
        <v>863</v>
      </c>
      <c r="F379" s="215"/>
      <c r="G379" s="214"/>
      <c r="H379" s="215"/>
      <c r="I379" s="215"/>
      <c r="J379" s="235">
        <v>-116.95</v>
      </c>
      <c r="K379" s="43">
        <f t="shared" si="17"/>
        <v>-116.95</v>
      </c>
      <c r="L379" s="43">
        <f t="shared" si="16"/>
        <v>25882.380000000016</v>
      </c>
      <c r="M379" s="16" t="s">
        <v>90</v>
      </c>
    </row>
    <row r="380" spans="1:22" x14ac:dyDescent="0.3">
      <c r="B380" s="108" t="s">
        <v>491</v>
      </c>
      <c r="C380" s="4" t="s">
        <v>1228</v>
      </c>
      <c r="D380" s="133" t="s">
        <v>623</v>
      </c>
      <c r="E380" s="120" t="s">
        <v>1230</v>
      </c>
      <c r="F380" s="27"/>
      <c r="G380" s="168" t="s">
        <v>1224</v>
      </c>
      <c r="H380" s="42"/>
      <c r="I380" s="42"/>
      <c r="J380" s="42">
        <v>-35.18</v>
      </c>
      <c r="K380" s="43">
        <f t="shared" si="17"/>
        <v>-35.18</v>
      </c>
      <c r="L380" s="43">
        <f t="shared" si="16"/>
        <v>25847.200000000015</v>
      </c>
      <c r="M380" s="16" t="s">
        <v>90</v>
      </c>
      <c r="Q380" s="30" t="s">
        <v>1254</v>
      </c>
      <c r="R380" s="30"/>
      <c r="S380" s="30"/>
      <c r="T380"/>
      <c r="U380"/>
      <c r="V380" s="43"/>
    </row>
    <row r="381" spans="1:22" x14ac:dyDescent="0.3">
      <c r="B381" s="108" t="s">
        <v>491</v>
      </c>
      <c r="C381" s="4" t="s">
        <v>561</v>
      </c>
      <c r="D381" s="133" t="s">
        <v>513</v>
      </c>
      <c r="E381" s="120" t="s">
        <v>692</v>
      </c>
      <c r="F381" s="27"/>
      <c r="G381" s="168" t="s">
        <v>1225</v>
      </c>
      <c r="H381" s="42"/>
      <c r="I381" s="42"/>
      <c r="J381" s="253">
        <v>-63.32</v>
      </c>
      <c r="K381" s="43">
        <f t="shared" si="17"/>
        <v>-63.32</v>
      </c>
      <c r="L381" s="43">
        <f t="shared" si="16"/>
        <v>25783.880000000016</v>
      </c>
      <c r="M381" s="18" t="s">
        <v>90</v>
      </c>
      <c r="Q381"/>
      <c r="R381"/>
      <c r="S381"/>
      <c r="T381"/>
      <c r="U381"/>
      <c r="V381" s="43"/>
    </row>
    <row r="382" spans="1:22" x14ac:dyDescent="0.3">
      <c r="A382" s="12"/>
      <c r="B382" s="108" t="s">
        <v>491</v>
      </c>
      <c r="C382" s="4" t="s">
        <v>1229</v>
      </c>
      <c r="D382" s="133" t="s">
        <v>623</v>
      </c>
      <c r="E382" s="33"/>
      <c r="F382" s="27"/>
      <c r="G382" s="168" t="s">
        <v>1226</v>
      </c>
      <c r="H382" s="42"/>
      <c r="I382" s="42"/>
      <c r="J382" s="42">
        <v>-20</v>
      </c>
      <c r="K382" s="43">
        <f t="shared" si="17"/>
        <v>-20</v>
      </c>
      <c r="L382" s="43">
        <f t="shared" si="16"/>
        <v>25763.880000000016</v>
      </c>
      <c r="M382" s="18" t="s">
        <v>90</v>
      </c>
      <c r="Q382" t="s">
        <v>1259</v>
      </c>
      <c r="R382"/>
      <c r="S382"/>
      <c r="T382"/>
      <c r="U382">
        <v>27391.23</v>
      </c>
    </row>
    <row r="383" spans="1:22" x14ac:dyDescent="0.3">
      <c r="A383" s="12"/>
      <c r="B383" s="108" t="s">
        <v>491</v>
      </c>
      <c r="C383" s="4" t="s">
        <v>444</v>
      </c>
      <c r="D383" s="133" t="s">
        <v>623</v>
      </c>
      <c r="E383" s="120"/>
      <c r="F383" s="52"/>
      <c r="G383" s="168" t="s">
        <v>1227</v>
      </c>
      <c r="H383" s="42"/>
      <c r="I383" s="42"/>
      <c r="J383" s="42">
        <v>-25.6</v>
      </c>
      <c r="K383" s="43">
        <f t="shared" si="17"/>
        <v>-25.6</v>
      </c>
      <c r="L383" s="43">
        <f t="shared" si="16"/>
        <v>25738.280000000017</v>
      </c>
      <c r="M383" s="18" t="s">
        <v>1257</v>
      </c>
      <c r="Q383" s="4"/>
      <c r="S383"/>
    </row>
    <row r="384" spans="1:22" x14ac:dyDescent="0.3">
      <c r="A384" s="26"/>
      <c r="B384" s="108" t="s">
        <v>491</v>
      </c>
      <c r="C384" s="4" t="s">
        <v>1239</v>
      </c>
      <c r="D384" s="133" t="s">
        <v>512</v>
      </c>
      <c r="E384" s="33"/>
      <c r="F384" s="172"/>
      <c r="G384" s="33"/>
      <c r="H384" s="42">
        <v>0</v>
      </c>
      <c r="I384" s="42"/>
      <c r="J384" s="42"/>
      <c r="K384" s="43">
        <f t="shared" si="17"/>
        <v>0</v>
      </c>
      <c r="L384" s="43">
        <f t="shared" si="16"/>
        <v>25738.280000000017</v>
      </c>
      <c r="M384" s="16" t="s">
        <v>412</v>
      </c>
      <c r="Q384" s="4"/>
      <c r="S384"/>
      <c r="T384"/>
      <c r="V384" s="43"/>
    </row>
    <row r="385" spans="1:24" x14ac:dyDescent="0.3">
      <c r="A385" s="26"/>
      <c r="B385" s="108" t="s">
        <v>491</v>
      </c>
      <c r="C385" s="4" t="s">
        <v>1239</v>
      </c>
      <c r="D385" s="132" t="s">
        <v>500</v>
      </c>
      <c r="E385" s="121" t="s">
        <v>874</v>
      </c>
      <c r="F385" s="27"/>
      <c r="G385" s="207" t="s">
        <v>324</v>
      </c>
      <c r="H385" s="49">
        <v>100</v>
      </c>
      <c r="I385" s="42"/>
      <c r="J385" s="42"/>
      <c r="K385" s="43">
        <f t="shared" si="17"/>
        <v>100</v>
      </c>
      <c r="L385" s="43">
        <f t="shared" si="16"/>
        <v>25838.280000000017</v>
      </c>
      <c r="M385" s="18" t="s">
        <v>412</v>
      </c>
      <c r="N385" s="16"/>
      <c r="Q385" t="s">
        <v>586</v>
      </c>
      <c r="R385"/>
      <c r="S385"/>
      <c r="T385" s="125"/>
      <c r="U385"/>
      <c r="V385" s="43"/>
    </row>
    <row r="386" spans="1:24" x14ac:dyDescent="0.3">
      <c r="B386" s="108" t="s">
        <v>491</v>
      </c>
      <c r="C386" s="4" t="s">
        <v>1232</v>
      </c>
      <c r="D386" s="133" t="s">
        <v>512</v>
      </c>
      <c r="E386" s="33"/>
      <c r="F386" s="27"/>
      <c r="G386" s="33"/>
      <c r="H386" s="42">
        <v>51</v>
      </c>
      <c r="I386" s="42"/>
      <c r="J386" s="42"/>
      <c r="K386" s="43">
        <f t="shared" si="17"/>
        <v>51</v>
      </c>
      <c r="L386" s="43">
        <f t="shared" si="16"/>
        <v>25889.280000000017</v>
      </c>
      <c r="M386" s="16" t="s">
        <v>412</v>
      </c>
      <c r="N386" s="16"/>
      <c r="Q386" s="252" t="s">
        <v>1223</v>
      </c>
      <c r="R386"/>
      <c r="S386"/>
      <c r="T386"/>
      <c r="U386">
        <v>-50</v>
      </c>
      <c r="V386" s="43"/>
    </row>
    <row r="387" spans="1:24" x14ac:dyDescent="0.3">
      <c r="B387" s="108" t="s">
        <v>491</v>
      </c>
      <c r="C387" s="4" t="s">
        <v>1232</v>
      </c>
      <c r="D387" s="132" t="s">
        <v>500</v>
      </c>
      <c r="E387" s="121" t="s">
        <v>881</v>
      </c>
      <c r="F387" s="52"/>
      <c r="G387" s="210"/>
      <c r="H387" s="49">
        <v>50</v>
      </c>
      <c r="I387" s="42"/>
      <c r="J387" s="42"/>
      <c r="K387" s="43">
        <f t="shared" si="17"/>
        <v>50</v>
      </c>
      <c r="L387" s="43">
        <f t="shared" si="16"/>
        <v>25939.280000000017</v>
      </c>
      <c r="M387" s="18" t="s">
        <v>412</v>
      </c>
      <c r="Q387" s="244" t="s">
        <v>1220</v>
      </c>
      <c r="S387"/>
      <c r="U387">
        <v>-50</v>
      </c>
      <c r="V387" s="254"/>
      <c r="X387"/>
    </row>
    <row r="388" spans="1:24" x14ac:dyDescent="0.3">
      <c r="B388" s="108" t="s">
        <v>491</v>
      </c>
      <c r="C388" s="4" t="s">
        <v>1235</v>
      </c>
      <c r="D388" s="112" t="s">
        <v>504</v>
      </c>
      <c r="E388" s="121" t="s">
        <v>891</v>
      </c>
      <c r="F388" s="52"/>
      <c r="G388" s="168" t="s">
        <v>1233</v>
      </c>
      <c r="H388" s="42"/>
      <c r="I388" s="171"/>
      <c r="J388" s="49">
        <v>-50</v>
      </c>
      <c r="K388" s="43">
        <f t="shared" si="17"/>
        <v>-50</v>
      </c>
      <c r="L388" s="43">
        <f t="shared" si="16"/>
        <v>25889.280000000017</v>
      </c>
      <c r="M388" s="16"/>
      <c r="Q388" s="244" t="s">
        <v>1219</v>
      </c>
      <c r="S388"/>
      <c r="U388">
        <v>-50</v>
      </c>
      <c r="V388" s="43"/>
    </row>
    <row r="389" spans="1:24" x14ac:dyDescent="0.3">
      <c r="A389" s="12"/>
      <c r="B389" s="108" t="s">
        <v>491</v>
      </c>
      <c r="C389" s="4" t="s">
        <v>1232</v>
      </c>
      <c r="D389" s="112" t="s">
        <v>504</v>
      </c>
      <c r="E389" s="121" t="s">
        <v>1236</v>
      </c>
      <c r="F389" s="27"/>
      <c r="G389" s="168" t="s">
        <v>1234</v>
      </c>
      <c r="H389" s="42"/>
      <c r="I389" s="171"/>
      <c r="J389" s="49">
        <v>-50</v>
      </c>
      <c r="K389" s="43">
        <f t="shared" si="17"/>
        <v>-50</v>
      </c>
      <c r="L389" s="43">
        <f t="shared" si="16"/>
        <v>25839.280000000017</v>
      </c>
      <c r="M389" s="18" t="s">
        <v>90</v>
      </c>
      <c r="Q389" s="244" t="s">
        <v>1208</v>
      </c>
      <c r="S389"/>
      <c r="U389">
        <v>-50</v>
      </c>
      <c r="V389" s="43"/>
    </row>
    <row r="390" spans="1:24" x14ac:dyDescent="0.3">
      <c r="A390" s="12"/>
      <c r="B390" s="108" t="s">
        <v>491</v>
      </c>
      <c r="C390" s="4" t="s">
        <v>129</v>
      </c>
      <c r="D390" s="132" t="s">
        <v>5</v>
      </c>
      <c r="E390" s="33"/>
      <c r="F390" s="27"/>
      <c r="G390" s="33"/>
      <c r="H390" s="42">
        <v>142.57</v>
      </c>
      <c r="I390" s="42"/>
      <c r="J390" s="42"/>
      <c r="K390" s="43">
        <f t="shared" si="17"/>
        <v>142.57</v>
      </c>
      <c r="L390" s="43">
        <f t="shared" si="16"/>
        <v>25981.850000000017</v>
      </c>
      <c r="M390" s="18" t="s">
        <v>90</v>
      </c>
      <c r="Q390" s="244" t="s">
        <v>1209</v>
      </c>
      <c r="S390"/>
      <c r="U390">
        <v>-50</v>
      </c>
      <c r="V390" s="254" t="s">
        <v>1268</v>
      </c>
    </row>
    <row r="391" spans="1:24" x14ac:dyDescent="0.3">
      <c r="A391" s="12"/>
      <c r="B391" s="108" t="s">
        <v>491</v>
      </c>
      <c r="C391" s="4" t="s">
        <v>1240</v>
      </c>
      <c r="D391" s="132" t="s">
        <v>5</v>
      </c>
      <c r="E391" s="120" t="s">
        <v>1237</v>
      </c>
      <c r="F391" s="27"/>
      <c r="G391" s="33"/>
      <c r="H391" s="42">
        <v>337</v>
      </c>
      <c r="I391" s="42"/>
      <c r="J391" s="42"/>
      <c r="K391" s="43">
        <f t="shared" si="17"/>
        <v>337</v>
      </c>
      <c r="L391" s="43">
        <f t="shared" si="16"/>
        <v>26318.850000000017</v>
      </c>
      <c r="M391" s="18" t="s">
        <v>90</v>
      </c>
      <c r="Q391" s="4" t="s">
        <v>1100</v>
      </c>
      <c r="U391">
        <v>-364.5</v>
      </c>
      <c r="W391" s="57"/>
    </row>
    <row r="392" spans="1:24" x14ac:dyDescent="0.3">
      <c r="B392" s="108" t="s">
        <v>491</v>
      </c>
      <c r="C392" s="4" t="s">
        <v>604</v>
      </c>
      <c r="D392" s="133" t="s">
        <v>512</v>
      </c>
      <c r="E392" s="120"/>
      <c r="F392" s="52"/>
      <c r="G392" s="33"/>
      <c r="H392" s="42">
        <v>51</v>
      </c>
      <c r="I392" s="42"/>
      <c r="J392" s="42"/>
      <c r="K392" s="43">
        <f t="shared" si="17"/>
        <v>51</v>
      </c>
      <c r="L392" s="43">
        <f t="shared" ref="L392:L437" si="18">L391+K392</f>
        <v>26369.850000000017</v>
      </c>
      <c r="M392" s="18" t="s">
        <v>90</v>
      </c>
      <c r="N392" s="16"/>
      <c r="Q392" s="244" t="s">
        <v>1227</v>
      </c>
      <c r="U392">
        <v>-25.6</v>
      </c>
      <c r="V392" t="s">
        <v>1257</v>
      </c>
    </row>
    <row r="393" spans="1:24" x14ac:dyDescent="0.3">
      <c r="A393" s="12"/>
      <c r="B393" s="108" t="s">
        <v>491</v>
      </c>
      <c r="C393" s="4" t="s">
        <v>1238</v>
      </c>
      <c r="D393" s="132" t="s">
        <v>5</v>
      </c>
      <c r="E393" s="120"/>
      <c r="F393" s="27"/>
      <c r="G393" s="120"/>
      <c r="H393" s="42">
        <v>132</v>
      </c>
      <c r="I393" s="42"/>
      <c r="J393" s="42"/>
      <c r="K393" s="43">
        <f t="shared" si="17"/>
        <v>132</v>
      </c>
      <c r="L393" s="43">
        <f t="shared" si="18"/>
        <v>26501.850000000017</v>
      </c>
      <c r="M393" s="18" t="s">
        <v>90</v>
      </c>
      <c r="Q393" s="244" t="s">
        <v>1233</v>
      </c>
      <c r="S393"/>
      <c r="U393">
        <v>-50</v>
      </c>
      <c r="W393" s="57"/>
    </row>
    <row r="394" spans="1:24" x14ac:dyDescent="0.3">
      <c r="A394" s="12"/>
      <c r="B394" s="108" t="s">
        <v>491</v>
      </c>
      <c r="C394" s="4" t="s">
        <v>655</v>
      </c>
      <c r="D394" s="133" t="s">
        <v>512</v>
      </c>
      <c r="E394" s="33"/>
      <c r="F394" s="27"/>
      <c r="G394" s="33"/>
      <c r="H394" s="42">
        <v>85</v>
      </c>
      <c r="I394" s="42"/>
      <c r="J394" s="42"/>
      <c r="K394" s="43">
        <f t="shared" si="17"/>
        <v>85</v>
      </c>
      <c r="L394" s="43">
        <f t="shared" si="18"/>
        <v>26586.850000000017</v>
      </c>
      <c r="M394" s="18" t="s">
        <v>412</v>
      </c>
      <c r="Q394" s="244" t="s">
        <v>1241</v>
      </c>
      <c r="S394"/>
      <c r="U394">
        <v>-50</v>
      </c>
      <c r="V394" t="s">
        <v>1257</v>
      </c>
      <c r="W394"/>
    </row>
    <row r="395" spans="1:24" x14ac:dyDescent="0.3">
      <c r="A395" s="12"/>
      <c r="B395" s="108" t="s">
        <v>491</v>
      </c>
      <c r="C395" s="4" t="s">
        <v>655</v>
      </c>
      <c r="D395" s="132" t="s">
        <v>500</v>
      </c>
      <c r="E395" s="121" t="s">
        <v>884</v>
      </c>
      <c r="F395" s="27"/>
      <c r="G395" s="207" t="s">
        <v>324</v>
      </c>
      <c r="H395" s="49">
        <v>50</v>
      </c>
      <c r="I395" s="42"/>
      <c r="J395" s="42"/>
      <c r="K395" s="43">
        <f t="shared" si="17"/>
        <v>50</v>
      </c>
      <c r="L395" s="43">
        <f t="shared" si="18"/>
        <v>26636.850000000017</v>
      </c>
      <c r="M395" s="18" t="s">
        <v>412</v>
      </c>
      <c r="Q395" s="244" t="s">
        <v>1255</v>
      </c>
      <c r="S395"/>
      <c r="U395">
        <v>-50</v>
      </c>
      <c r="V395" t="s">
        <v>1257</v>
      </c>
      <c r="X395"/>
    </row>
    <row r="396" spans="1:24" x14ac:dyDescent="0.3">
      <c r="A396" s="12"/>
      <c r="B396" s="108" t="s">
        <v>491</v>
      </c>
      <c r="C396" s="4" t="s">
        <v>1243</v>
      </c>
      <c r="D396" s="112" t="s">
        <v>504</v>
      </c>
      <c r="E396" s="121" t="s">
        <v>1242</v>
      </c>
      <c r="F396" s="60"/>
      <c r="G396" s="168" t="s">
        <v>1241</v>
      </c>
      <c r="H396" s="42"/>
      <c r="I396" s="42"/>
      <c r="J396" s="49">
        <v>-50</v>
      </c>
      <c r="K396" s="43">
        <f t="shared" si="17"/>
        <v>-50</v>
      </c>
      <c r="L396" s="43">
        <f t="shared" si="18"/>
        <v>26586.850000000017</v>
      </c>
      <c r="M396" s="18" t="s">
        <v>1257</v>
      </c>
      <c r="Q396" s="244" t="s">
        <v>1256</v>
      </c>
      <c r="S396"/>
      <c r="U396">
        <v>-50</v>
      </c>
      <c r="W396" s="57"/>
      <c r="X396"/>
    </row>
    <row r="397" spans="1:24" x14ac:dyDescent="0.3">
      <c r="A397" s="12"/>
      <c r="B397" s="108" t="s">
        <v>491</v>
      </c>
      <c r="C397" s="4" t="s">
        <v>1244</v>
      </c>
      <c r="D397" s="133" t="s">
        <v>512</v>
      </c>
      <c r="E397" s="120"/>
      <c r="F397" s="27"/>
      <c r="G397" s="33"/>
      <c r="H397" s="42">
        <v>12</v>
      </c>
      <c r="I397" s="42"/>
      <c r="J397" s="42"/>
      <c r="K397" s="43">
        <f t="shared" si="17"/>
        <v>12</v>
      </c>
      <c r="L397" s="43">
        <f t="shared" si="18"/>
        <v>26598.850000000017</v>
      </c>
      <c r="M397" s="18" t="s">
        <v>90</v>
      </c>
      <c r="X397"/>
    </row>
    <row r="398" spans="1:24" x14ac:dyDescent="0.3">
      <c r="A398" s="12"/>
      <c r="B398" s="108" t="s">
        <v>491</v>
      </c>
      <c r="C398" s="4" t="s">
        <v>1245</v>
      </c>
      <c r="D398" s="133" t="s">
        <v>512</v>
      </c>
      <c r="E398" s="120"/>
      <c r="F398" s="27"/>
      <c r="G398" s="33"/>
      <c r="H398" s="42">
        <v>128.5</v>
      </c>
      <c r="I398" s="42"/>
      <c r="J398" s="42"/>
      <c r="K398" s="43">
        <f t="shared" si="17"/>
        <v>128.5</v>
      </c>
      <c r="L398" s="43">
        <f t="shared" si="18"/>
        <v>26727.350000000017</v>
      </c>
      <c r="M398" s="18" t="s">
        <v>412</v>
      </c>
    </row>
    <row r="399" spans="1:24" x14ac:dyDescent="0.3">
      <c r="A399" s="12"/>
      <c r="B399" s="108" t="s">
        <v>491</v>
      </c>
      <c r="C399" s="4" t="s">
        <v>1245</v>
      </c>
      <c r="D399" s="132" t="s">
        <v>500</v>
      </c>
      <c r="E399" s="121" t="s">
        <v>902</v>
      </c>
      <c r="F399" s="27"/>
      <c r="G399" s="210"/>
      <c r="H399" s="49">
        <v>100</v>
      </c>
      <c r="I399" s="42"/>
      <c r="J399" s="42"/>
      <c r="K399" s="43">
        <f t="shared" si="17"/>
        <v>100</v>
      </c>
      <c r="L399" s="43">
        <f t="shared" si="18"/>
        <v>26827.350000000017</v>
      </c>
      <c r="M399" s="18" t="s">
        <v>412</v>
      </c>
      <c r="N399"/>
    </row>
    <row r="400" spans="1:24" x14ac:dyDescent="0.3">
      <c r="A400" s="28"/>
      <c r="B400" s="108" t="s">
        <v>491</v>
      </c>
      <c r="C400" s="4" t="s">
        <v>1246</v>
      </c>
      <c r="D400" s="132" t="s">
        <v>5</v>
      </c>
      <c r="E400" s="33"/>
      <c r="F400" s="27"/>
      <c r="G400" s="120" t="s">
        <v>243</v>
      </c>
      <c r="H400" s="42"/>
      <c r="I400" s="42"/>
      <c r="J400" s="42">
        <v>-45.29</v>
      </c>
      <c r="K400" s="43">
        <f t="shared" si="17"/>
        <v>-45.29</v>
      </c>
      <c r="L400" s="43">
        <f t="shared" si="18"/>
        <v>26782.060000000016</v>
      </c>
      <c r="M400" s="16" t="s">
        <v>90</v>
      </c>
      <c r="S400"/>
      <c r="W400" s="57"/>
      <c r="X400"/>
    </row>
    <row r="401" spans="1:25" x14ac:dyDescent="0.3">
      <c r="A401" s="28"/>
      <c r="B401" s="108" t="s">
        <v>491</v>
      </c>
      <c r="C401" s="4" t="s">
        <v>1246</v>
      </c>
      <c r="D401" s="133" t="s">
        <v>12</v>
      </c>
      <c r="E401" s="120"/>
      <c r="F401" s="27"/>
      <c r="G401" s="120" t="s">
        <v>243</v>
      </c>
      <c r="H401" s="42"/>
      <c r="I401" s="42"/>
      <c r="J401" s="42">
        <v>-130.93</v>
      </c>
      <c r="K401" s="43">
        <f t="shared" si="17"/>
        <v>-130.93</v>
      </c>
      <c r="L401" s="43">
        <f t="shared" si="18"/>
        <v>26651.130000000016</v>
      </c>
      <c r="M401" s="16" t="s">
        <v>90</v>
      </c>
      <c r="S401"/>
    </row>
    <row r="402" spans="1:25" x14ac:dyDescent="0.3">
      <c r="A402" s="28"/>
      <c r="B402" s="108" t="s">
        <v>491</v>
      </c>
      <c r="C402" s="4" t="s">
        <v>1207</v>
      </c>
      <c r="D402" s="112" t="s">
        <v>504</v>
      </c>
      <c r="E402" s="121" t="s">
        <v>1250</v>
      </c>
      <c r="F402" s="27"/>
      <c r="G402" s="168" t="s">
        <v>1247</v>
      </c>
      <c r="H402" s="42"/>
      <c r="I402" s="42"/>
      <c r="J402" s="49">
        <v>-50</v>
      </c>
      <c r="K402" s="43">
        <f t="shared" si="17"/>
        <v>-50</v>
      </c>
      <c r="L402" s="43">
        <f t="shared" si="18"/>
        <v>26601.130000000016</v>
      </c>
      <c r="M402" s="16" t="s">
        <v>1257</v>
      </c>
      <c r="S402"/>
      <c r="W402" s="23"/>
      <c r="Y402"/>
    </row>
    <row r="403" spans="1:25" x14ac:dyDescent="0.3">
      <c r="A403" s="28"/>
      <c r="B403" s="108" t="s">
        <v>491</v>
      </c>
      <c r="C403" s="4" t="s">
        <v>1249</v>
      </c>
      <c r="D403" s="112" t="s">
        <v>504</v>
      </c>
      <c r="E403" s="121" t="s">
        <v>1251</v>
      </c>
      <c r="F403" s="27"/>
      <c r="G403" s="168" t="s">
        <v>1248</v>
      </c>
      <c r="H403" s="42"/>
      <c r="I403" s="42"/>
      <c r="J403" s="49">
        <v>-50</v>
      </c>
      <c r="K403" s="43">
        <f t="shared" si="17"/>
        <v>-50</v>
      </c>
      <c r="L403" s="75">
        <f t="shared" si="18"/>
        <v>26551.130000000016</v>
      </c>
      <c r="M403" s="16"/>
      <c r="Q403" s="4" t="s">
        <v>1215</v>
      </c>
      <c r="U403" s="23">
        <f>SUM(U382:U402)</f>
        <v>26551.13</v>
      </c>
      <c r="V403" s="23" t="s">
        <v>588</v>
      </c>
      <c r="W403" s="57"/>
    </row>
    <row r="404" spans="1:25" x14ac:dyDescent="0.3">
      <c r="A404" s="28" t="s">
        <v>83</v>
      </c>
      <c r="B404" s="105"/>
      <c r="C404" s="11"/>
      <c r="D404" s="11"/>
      <c r="E404" s="33"/>
      <c r="F404" s="27"/>
      <c r="G404" s="33"/>
      <c r="H404" s="42"/>
      <c r="I404" s="42"/>
      <c r="J404" s="42"/>
      <c r="K404" s="43">
        <f t="shared" si="17"/>
        <v>0</v>
      </c>
      <c r="L404" s="43">
        <f t="shared" si="18"/>
        <v>26551.130000000016</v>
      </c>
      <c r="S404" s="57"/>
    </row>
    <row r="405" spans="1:25" x14ac:dyDescent="0.3">
      <c r="A405" s="12"/>
      <c r="B405" s="105" t="s">
        <v>492</v>
      </c>
      <c r="C405" s="4" t="s">
        <v>907</v>
      </c>
      <c r="D405" s="133" t="s">
        <v>512</v>
      </c>
      <c r="E405" s="120"/>
      <c r="F405" s="27"/>
      <c r="G405" s="33"/>
      <c r="H405" s="42">
        <v>60</v>
      </c>
      <c r="I405" s="42"/>
      <c r="J405" s="42"/>
      <c r="K405" s="43">
        <f t="shared" si="17"/>
        <v>60</v>
      </c>
      <c r="L405" s="43">
        <f t="shared" si="18"/>
        <v>26611.130000000016</v>
      </c>
      <c r="M405" s="16" t="s">
        <v>412</v>
      </c>
      <c r="S405" s="57"/>
    </row>
    <row r="406" spans="1:25" x14ac:dyDescent="0.3">
      <c r="A406" s="12"/>
      <c r="B406" s="105" t="s">
        <v>492</v>
      </c>
      <c r="C406" s="4" t="s">
        <v>907</v>
      </c>
      <c r="D406" s="132" t="s">
        <v>500</v>
      </c>
      <c r="E406" s="121" t="s">
        <v>1252</v>
      </c>
      <c r="F406" s="52"/>
      <c r="G406" s="207" t="s">
        <v>324</v>
      </c>
      <c r="H406" s="49">
        <v>50</v>
      </c>
      <c r="I406" s="42"/>
      <c r="J406" s="42"/>
      <c r="K406" s="43">
        <f t="shared" si="17"/>
        <v>50</v>
      </c>
      <c r="L406" s="43">
        <f t="shared" si="18"/>
        <v>26661.130000000016</v>
      </c>
      <c r="M406" s="16" t="s">
        <v>412</v>
      </c>
      <c r="S406" s="57"/>
    </row>
    <row r="407" spans="1:25" x14ac:dyDescent="0.3">
      <c r="A407" s="26"/>
      <c r="B407" s="105" t="s">
        <v>492</v>
      </c>
      <c r="C407" s="4" t="s">
        <v>97</v>
      </c>
      <c r="D407" s="132" t="s">
        <v>10</v>
      </c>
      <c r="E407" s="168" t="s">
        <v>1253</v>
      </c>
      <c r="F407" s="27"/>
      <c r="G407" s="120" t="s">
        <v>243</v>
      </c>
      <c r="H407" s="42"/>
      <c r="I407" s="42"/>
      <c r="J407" s="42">
        <v>-1432.49</v>
      </c>
      <c r="K407" s="43">
        <f t="shared" si="17"/>
        <v>-1432.49</v>
      </c>
      <c r="L407" s="43">
        <f t="shared" si="18"/>
        <v>25228.640000000014</v>
      </c>
      <c r="M407" s="18" t="s">
        <v>90</v>
      </c>
      <c r="N407" s="18"/>
      <c r="S407" s="57"/>
    </row>
    <row r="408" spans="1:25" x14ac:dyDescent="0.3">
      <c r="A408" s="12"/>
      <c r="B408" s="105" t="s">
        <v>492</v>
      </c>
      <c r="C408" s="4" t="s">
        <v>475</v>
      </c>
      <c r="D408" s="133" t="s">
        <v>512</v>
      </c>
      <c r="E408" s="33"/>
      <c r="F408" s="27"/>
      <c r="G408" s="33"/>
      <c r="H408" s="42">
        <v>17</v>
      </c>
      <c r="I408" s="42"/>
      <c r="J408" s="170"/>
      <c r="K408" s="43">
        <f t="shared" si="17"/>
        <v>17</v>
      </c>
      <c r="L408" s="43">
        <f t="shared" si="18"/>
        <v>25245.640000000014</v>
      </c>
      <c r="M408" s="16" t="s">
        <v>90</v>
      </c>
      <c r="N408" s="18"/>
      <c r="S408" s="57"/>
    </row>
    <row r="409" spans="1:25" x14ac:dyDescent="0.3">
      <c r="A409" s="12"/>
      <c r="B409" s="105" t="s">
        <v>492</v>
      </c>
      <c r="C409" s="4" t="s">
        <v>299</v>
      </c>
      <c r="D409" s="133" t="s">
        <v>301</v>
      </c>
      <c r="E409" s="213"/>
      <c r="F409" s="213"/>
      <c r="G409" s="214"/>
      <c r="H409" s="215"/>
      <c r="I409" s="215"/>
      <c r="J409" s="232">
        <v>-37.68</v>
      </c>
      <c r="K409" s="43">
        <f t="shared" si="17"/>
        <v>-37.68</v>
      </c>
      <c r="L409" s="43">
        <f t="shared" si="18"/>
        <v>25207.960000000014</v>
      </c>
      <c r="M409" s="18" t="s">
        <v>90</v>
      </c>
      <c r="S409" s="57"/>
    </row>
    <row r="410" spans="1:25" x14ac:dyDescent="0.3">
      <c r="B410" s="105" t="s">
        <v>492</v>
      </c>
      <c r="C410" s="4" t="s">
        <v>607</v>
      </c>
      <c r="D410" s="133" t="s">
        <v>11</v>
      </c>
      <c r="E410" s="213"/>
      <c r="F410" s="213"/>
      <c r="G410" s="214"/>
      <c r="H410" s="215"/>
      <c r="I410" s="215"/>
      <c r="J410" s="232">
        <v>-200</v>
      </c>
      <c r="K410" s="43">
        <f t="shared" si="17"/>
        <v>-200</v>
      </c>
      <c r="L410" s="43">
        <f t="shared" si="18"/>
        <v>25007.960000000014</v>
      </c>
      <c r="M410" s="16" t="s">
        <v>90</v>
      </c>
      <c r="S410" s="57"/>
    </row>
    <row r="411" spans="1:25" x14ac:dyDescent="0.3">
      <c r="A411" s="12"/>
      <c r="B411" s="105" t="s">
        <v>492</v>
      </c>
      <c r="C411" s="214" t="s">
        <v>1109</v>
      </c>
      <c r="D411" s="133" t="s">
        <v>12</v>
      </c>
      <c r="E411" s="213"/>
      <c r="F411" s="215"/>
      <c r="G411" s="214"/>
      <c r="H411" s="215"/>
      <c r="I411" s="215"/>
      <c r="J411" s="232">
        <v>-29.4</v>
      </c>
      <c r="K411" s="43">
        <f t="shared" si="17"/>
        <v>-29.4</v>
      </c>
      <c r="L411" s="43">
        <f t="shared" si="18"/>
        <v>24978.560000000012</v>
      </c>
      <c r="M411" s="16" t="s">
        <v>90</v>
      </c>
      <c r="S411" s="57"/>
    </row>
    <row r="412" spans="1:25" x14ac:dyDescent="0.3">
      <c r="A412" s="12"/>
      <c r="B412" s="105" t="s">
        <v>492</v>
      </c>
      <c r="C412" s="4" t="s">
        <v>48</v>
      </c>
      <c r="D412" s="133" t="s">
        <v>12</v>
      </c>
      <c r="E412" s="213"/>
      <c r="F412" s="215"/>
      <c r="G412" s="214"/>
      <c r="H412" s="215"/>
      <c r="I412" s="215"/>
      <c r="J412" s="232">
        <v>-71.599999999999994</v>
      </c>
      <c r="K412" s="43">
        <f t="shared" si="17"/>
        <v>-71.599999999999994</v>
      </c>
      <c r="L412" s="43">
        <f t="shared" si="18"/>
        <v>24906.960000000014</v>
      </c>
      <c r="M412" s="18" t="s">
        <v>90</v>
      </c>
      <c r="S412" s="57"/>
    </row>
    <row r="413" spans="1:25" x14ac:dyDescent="0.3">
      <c r="A413" s="29"/>
      <c r="B413" s="105" t="s">
        <v>492</v>
      </c>
      <c r="C413" s="4" t="s">
        <v>1068</v>
      </c>
      <c r="D413" s="133" t="s">
        <v>12</v>
      </c>
      <c r="E413" s="213" t="s">
        <v>937</v>
      </c>
      <c r="F413" s="215"/>
      <c r="G413" s="214"/>
      <c r="H413" s="215"/>
      <c r="I413" s="215"/>
      <c r="J413" s="228">
        <v>-259.2</v>
      </c>
      <c r="K413" s="43">
        <f t="shared" si="17"/>
        <v>-259.2</v>
      </c>
      <c r="L413" s="43">
        <f t="shared" si="18"/>
        <v>24647.760000000013</v>
      </c>
      <c r="S413" s="57"/>
    </row>
    <row r="414" spans="1:25" x14ac:dyDescent="0.3">
      <c r="B414" s="105" t="s">
        <v>492</v>
      </c>
      <c r="C414" s="4" t="s">
        <v>58</v>
      </c>
      <c r="D414" s="133" t="s">
        <v>9</v>
      </c>
      <c r="E414" s="213" t="s">
        <v>897</v>
      </c>
      <c r="F414" s="215"/>
      <c r="G414" s="214"/>
      <c r="H414" s="215"/>
      <c r="I414" s="215"/>
      <c r="J414" s="235">
        <v>-263.27</v>
      </c>
      <c r="K414" s="43">
        <f t="shared" si="17"/>
        <v>-263.27</v>
      </c>
      <c r="L414" s="43">
        <f t="shared" si="18"/>
        <v>24384.490000000013</v>
      </c>
      <c r="M414" s="18" t="s">
        <v>90</v>
      </c>
      <c r="S414" s="57"/>
    </row>
    <row r="415" spans="1:25" ht="12.5" x14ac:dyDescent="0.25">
      <c r="A415" s="12"/>
      <c r="B415" s="105" t="s">
        <v>492</v>
      </c>
      <c r="C415" s="4" t="s">
        <v>1258</v>
      </c>
      <c r="D415" s="133" t="s">
        <v>512</v>
      </c>
      <c r="E415" s="33"/>
      <c r="F415" s="27"/>
      <c r="G415" s="33"/>
      <c r="H415" s="42">
        <v>8</v>
      </c>
      <c r="I415" s="42"/>
      <c r="J415" s="42"/>
      <c r="K415" s="43">
        <f t="shared" si="17"/>
        <v>8</v>
      </c>
      <c r="L415" s="43">
        <f t="shared" si="18"/>
        <v>24392.490000000013</v>
      </c>
      <c r="M415" s="4" t="s">
        <v>90</v>
      </c>
      <c r="N415" s="62"/>
      <c r="O415" s="11"/>
      <c r="P415" s="13"/>
      <c r="S415" s="57"/>
    </row>
    <row r="416" spans="1:25" x14ac:dyDescent="0.3">
      <c r="A416" s="12"/>
      <c r="B416" s="105" t="s">
        <v>492</v>
      </c>
      <c r="C416" s="4" t="s">
        <v>574</v>
      </c>
      <c r="D416" s="133" t="s">
        <v>512</v>
      </c>
      <c r="E416" s="33"/>
      <c r="F416" s="27"/>
      <c r="H416" s="42">
        <v>22.67</v>
      </c>
      <c r="I416" s="42"/>
      <c r="J416" s="42"/>
      <c r="K416" s="43">
        <f t="shared" si="17"/>
        <v>22.67</v>
      </c>
      <c r="L416" s="43">
        <f t="shared" si="18"/>
        <v>24415.160000000011</v>
      </c>
      <c r="M416" s="18" t="s">
        <v>412</v>
      </c>
      <c r="S416" s="57"/>
    </row>
    <row r="417" spans="1:21" x14ac:dyDescent="0.3">
      <c r="A417" s="12"/>
      <c r="B417" s="105" t="s">
        <v>492</v>
      </c>
      <c r="C417" s="4" t="s">
        <v>574</v>
      </c>
      <c r="D417" s="112" t="s">
        <v>504</v>
      </c>
      <c r="E417" s="121" t="s">
        <v>862</v>
      </c>
      <c r="F417" s="52"/>
      <c r="G417" s="33">
        <v>500800</v>
      </c>
      <c r="H417" s="42"/>
      <c r="I417" s="42"/>
      <c r="J417" s="42">
        <v>-50</v>
      </c>
      <c r="K417" s="43">
        <f t="shared" si="17"/>
        <v>-50</v>
      </c>
      <c r="L417" s="43">
        <f t="shared" si="18"/>
        <v>24365.160000000011</v>
      </c>
      <c r="M417" s="18" t="s">
        <v>412</v>
      </c>
      <c r="S417" s="57"/>
    </row>
    <row r="418" spans="1:21" x14ac:dyDescent="0.3">
      <c r="A418" s="12"/>
      <c r="B418" s="105" t="s">
        <v>492</v>
      </c>
      <c r="C418" s="4" t="s">
        <v>87</v>
      </c>
      <c r="D418" s="133" t="s">
        <v>518</v>
      </c>
      <c r="E418" s="120" t="s">
        <v>1260</v>
      </c>
      <c r="F418" s="27"/>
      <c r="G418" s="120" t="s">
        <v>243</v>
      </c>
      <c r="H418" s="42"/>
      <c r="I418" s="42"/>
      <c r="J418" s="42">
        <v>-1500</v>
      </c>
      <c r="K418" s="43">
        <f t="shared" ref="K418:K439" si="19">H418+J418</f>
        <v>-1500</v>
      </c>
      <c r="L418" s="43">
        <f t="shared" si="18"/>
        <v>22865.160000000011</v>
      </c>
      <c r="M418" s="18" t="s">
        <v>90</v>
      </c>
      <c r="S418" s="57"/>
    </row>
    <row r="419" spans="1:21" x14ac:dyDescent="0.3">
      <c r="A419" s="12"/>
      <c r="B419" s="105" t="s">
        <v>492</v>
      </c>
      <c r="C419" s="4" t="s">
        <v>87</v>
      </c>
      <c r="D419" s="133" t="s">
        <v>518</v>
      </c>
      <c r="E419" s="168" t="s">
        <v>1261</v>
      </c>
      <c r="F419" s="27"/>
      <c r="G419" s="120" t="s">
        <v>243</v>
      </c>
      <c r="H419" s="42"/>
      <c r="I419" s="42"/>
      <c r="J419" s="42">
        <v>-1085</v>
      </c>
      <c r="K419" s="43">
        <f t="shared" si="19"/>
        <v>-1085</v>
      </c>
      <c r="L419" s="43">
        <f t="shared" si="18"/>
        <v>21780.160000000011</v>
      </c>
      <c r="M419" s="18" t="s">
        <v>90</v>
      </c>
      <c r="S419" s="57"/>
    </row>
    <row r="420" spans="1:21" x14ac:dyDescent="0.3">
      <c r="A420" s="12"/>
      <c r="B420" s="131" t="s">
        <v>492</v>
      </c>
      <c r="C420" s="4" t="s">
        <v>1262</v>
      </c>
      <c r="D420" s="133" t="s">
        <v>512</v>
      </c>
      <c r="E420" s="120" t="s">
        <v>1263</v>
      </c>
      <c r="F420" s="27"/>
      <c r="G420" s="33"/>
      <c r="H420" s="42">
        <v>280</v>
      </c>
      <c r="I420" s="42"/>
      <c r="J420" s="42"/>
      <c r="K420" s="43">
        <f t="shared" si="19"/>
        <v>280</v>
      </c>
      <c r="L420" s="43">
        <f t="shared" si="18"/>
        <v>22060.160000000011</v>
      </c>
      <c r="M420" s="18" t="s">
        <v>90</v>
      </c>
      <c r="S420" s="57"/>
    </row>
    <row r="421" spans="1:21" x14ac:dyDescent="0.3">
      <c r="A421" s="12"/>
      <c r="B421" s="105" t="s">
        <v>492</v>
      </c>
      <c r="C421" s="4" t="s">
        <v>604</v>
      </c>
      <c r="D421" s="133" t="s">
        <v>512</v>
      </c>
      <c r="E421" s="33"/>
      <c r="F421" s="27"/>
      <c r="G421" s="33"/>
      <c r="H421" s="42">
        <v>51</v>
      </c>
      <c r="I421" s="42"/>
      <c r="J421" s="42"/>
      <c r="K421" s="43">
        <f t="shared" si="19"/>
        <v>51</v>
      </c>
      <c r="L421" s="43">
        <f t="shared" si="18"/>
        <v>22111.160000000011</v>
      </c>
      <c r="M421" s="18" t="s">
        <v>90</v>
      </c>
      <c r="S421" s="57"/>
    </row>
    <row r="422" spans="1:21" x14ac:dyDescent="0.3">
      <c r="A422" s="12"/>
      <c r="B422" s="105" t="s">
        <v>492</v>
      </c>
      <c r="C422" s="4" t="s">
        <v>1278</v>
      </c>
      <c r="D422" s="133" t="s">
        <v>512</v>
      </c>
      <c r="E422" s="120"/>
      <c r="F422" s="27"/>
      <c r="G422" s="33"/>
      <c r="H422" s="42">
        <v>126</v>
      </c>
      <c r="I422" s="42"/>
      <c r="J422" s="42"/>
      <c r="K422" s="43">
        <f t="shared" si="19"/>
        <v>126</v>
      </c>
      <c r="L422" s="43">
        <f t="shared" si="18"/>
        <v>22237.160000000011</v>
      </c>
      <c r="M422" s="18" t="s">
        <v>90</v>
      </c>
      <c r="O422" s="213"/>
      <c r="P422"/>
      <c r="Q422" s="261"/>
      <c r="R422"/>
      <c r="S422" s="261"/>
      <c r="T422" s="261"/>
      <c r="U422" s="262"/>
    </row>
    <row r="423" spans="1:21" x14ac:dyDescent="0.3">
      <c r="A423" s="26"/>
      <c r="B423" s="105" t="s">
        <v>492</v>
      </c>
      <c r="C423" s="4" t="s">
        <v>1265</v>
      </c>
      <c r="D423" s="133" t="s">
        <v>512</v>
      </c>
      <c r="E423" s="120"/>
      <c r="F423" s="27"/>
      <c r="G423" s="33"/>
      <c r="H423" s="42">
        <v>80</v>
      </c>
      <c r="I423" s="42"/>
      <c r="J423" s="42"/>
      <c r="K423" s="43">
        <f t="shared" si="19"/>
        <v>80</v>
      </c>
      <c r="L423" s="43">
        <f t="shared" si="18"/>
        <v>22317.160000000011</v>
      </c>
      <c r="M423" s="18" t="s">
        <v>412</v>
      </c>
      <c r="O423" s="213"/>
      <c r="P423"/>
      <c r="Q423" s="261"/>
      <c r="R423"/>
      <c r="S423" s="261"/>
      <c r="T423" s="261"/>
      <c r="U423" s="262"/>
    </row>
    <row r="424" spans="1:21" x14ac:dyDescent="0.3">
      <c r="A424" s="26"/>
      <c r="B424" s="105" t="s">
        <v>492</v>
      </c>
      <c r="C424" s="4" t="s">
        <v>1265</v>
      </c>
      <c r="D424" s="132" t="s">
        <v>500</v>
      </c>
      <c r="E424" s="121" t="s">
        <v>1279</v>
      </c>
      <c r="F424" s="52"/>
      <c r="G424" s="207" t="s">
        <v>324</v>
      </c>
      <c r="H424" s="49">
        <v>50</v>
      </c>
      <c r="I424" s="42"/>
      <c r="J424" s="42"/>
      <c r="K424" s="43">
        <v>50</v>
      </c>
      <c r="L424" s="43">
        <f t="shared" si="18"/>
        <v>22367.160000000011</v>
      </c>
      <c r="M424" s="18" t="s">
        <v>412</v>
      </c>
      <c r="O424" s="213"/>
      <c r="P424"/>
      <c r="Q424" s="261"/>
      <c r="R424"/>
      <c r="S424" s="261"/>
      <c r="T424" s="261"/>
      <c r="U424" s="262"/>
    </row>
    <row r="425" spans="1:21" x14ac:dyDescent="0.3">
      <c r="A425" s="26"/>
      <c r="B425" s="105" t="s">
        <v>492</v>
      </c>
      <c r="C425" s="4" t="s">
        <v>1264</v>
      </c>
      <c r="D425" s="132" t="s">
        <v>500</v>
      </c>
      <c r="E425" s="121" t="s">
        <v>1280</v>
      </c>
      <c r="F425" s="52"/>
      <c r="G425" s="207" t="s">
        <v>324</v>
      </c>
      <c r="H425" s="49">
        <v>50</v>
      </c>
      <c r="I425" s="42"/>
      <c r="J425" s="42"/>
      <c r="K425" s="43">
        <f t="shared" si="19"/>
        <v>50</v>
      </c>
      <c r="L425" s="43">
        <f t="shared" si="18"/>
        <v>22417.160000000011</v>
      </c>
      <c r="M425" s="18" t="s">
        <v>90</v>
      </c>
      <c r="O425" s="213"/>
      <c r="P425"/>
      <c r="Q425" s="261"/>
      <c r="R425"/>
      <c r="S425" s="261"/>
      <c r="T425" s="261"/>
      <c r="U425" s="262"/>
    </row>
    <row r="426" spans="1:21" x14ac:dyDescent="0.3">
      <c r="A426" s="26"/>
      <c r="B426" s="105" t="s">
        <v>492</v>
      </c>
      <c r="C426" s="4" t="s">
        <v>1245</v>
      </c>
      <c r="D426" s="112" t="s">
        <v>504</v>
      </c>
      <c r="E426" s="121" t="s">
        <v>1267</v>
      </c>
      <c r="F426" s="27"/>
      <c r="G426" s="168" t="s">
        <v>1266</v>
      </c>
      <c r="H426" s="42"/>
      <c r="I426" s="42"/>
      <c r="J426" s="49">
        <v>-100</v>
      </c>
      <c r="K426" s="43">
        <f t="shared" si="19"/>
        <v>-100</v>
      </c>
      <c r="L426" s="43">
        <f t="shared" si="18"/>
        <v>22317.160000000011</v>
      </c>
      <c r="O426" s="213"/>
      <c r="P426"/>
      <c r="Q426" s="261"/>
      <c r="R426"/>
      <c r="S426" s="261"/>
      <c r="T426" s="261"/>
      <c r="U426" s="262"/>
    </row>
    <row r="427" spans="1:21" x14ac:dyDescent="0.3">
      <c r="A427" s="26"/>
      <c r="B427" s="105" t="s">
        <v>492</v>
      </c>
      <c r="C427" s="4" t="s">
        <v>1281</v>
      </c>
      <c r="D427" s="133" t="s">
        <v>512</v>
      </c>
      <c r="E427" s="120"/>
      <c r="F427" s="27"/>
      <c r="G427" s="168"/>
      <c r="H427" s="42">
        <v>100</v>
      </c>
      <c r="I427" s="42"/>
      <c r="J427" s="42"/>
      <c r="K427" s="43">
        <f t="shared" si="19"/>
        <v>100</v>
      </c>
      <c r="L427" s="43">
        <f t="shared" si="18"/>
        <v>22417.160000000011</v>
      </c>
      <c r="M427" s="18" t="s">
        <v>587</v>
      </c>
      <c r="O427" s="213"/>
      <c r="P427"/>
      <c r="Q427" s="261"/>
      <c r="R427"/>
      <c r="S427" s="261"/>
      <c r="T427" s="261"/>
      <c r="U427" s="262"/>
    </row>
    <row r="428" spans="1:21" x14ac:dyDescent="0.3">
      <c r="A428" s="26"/>
      <c r="B428" s="105" t="s">
        <v>492</v>
      </c>
      <c r="C428" s="4" t="s">
        <v>1281</v>
      </c>
      <c r="D428" s="112" t="s">
        <v>504</v>
      </c>
      <c r="E428" s="121" t="s">
        <v>1282</v>
      </c>
      <c r="F428" s="52"/>
      <c r="G428" s="207" t="s">
        <v>324</v>
      </c>
      <c r="H428" s="49">
        <v>100</v>
      </c>
      <c r="I428" s="42"/>
      <c r="J428" s="42"/>
      <c r="K428" s="43">
        <f t="shared" si="19"/>
        <v>100</v>
      </c>
      <c r="L428" s="43">
        <f t="shared" si="18"/>
        <v>22517.160000000011</v>
      </c>
      <c r="M428" s="18" t="s">
        <v>587</v>
      </c>
      <c r="O428" s="213"/>
      <c r="P428"/>
      <c r="Q428" s="261"/>
      <c r="R428"/>
      <c r="S428" s="261"/>
      <c r="T428" s="261"/>
      <c r="U428" s="262"/>
    </row>
    <row r="429" spans="1:21" x14ac:dyDescent="0.3">
      <c r="A429" s="26"/>
      <c r="B429" s="105" t="s">
        <v>492</v>
      </c>
      <c r="C429" s="4" t="s">
        <v>447</v>
      </c>
      <c r="D429" s="133" t="s">
        <v>512</v>
      </c>
      <c r="E429" s="120"/>
      <c r="F429" s="27"/>
      <c r="G429" s="168"/>
      <c r="H429" s="42">
        <v>50</v>
      </c>
      <c r="I429" s="42"/>
      <c r="J429" s="42"/>
      <c r="K429" s="43">
        <f t="shared" si="19"/>
        <v>50</v>
      </c>
      <c r="L429" s="43">
        <f t="shared" si="18"/>
        <v>22567.160000000011</v>
      </c>
      <c r="M429" s="18" t="s">
        <v>587</v>
      </c>
      <c r="O429" s="213"/>
      <c r="P429"/>
      <c r="Q429" s="261"/>
      <c r="R429"/>
      <c r="S429" s="261"/>
      <c r="T429" s="261"/>
      <c r="U429" s="262"/>
    </row>
    <row r="430" spans="1:21" x14ac:dyDescent="0.3">
      <c r="A430" s="26"/>
      <c r="B430" s="105" t="s">
        <v>492</v>
      </c>
      <c r="C430" s="4" t="s">
        <v>338</v>
      </c>
      <c r="D430" s="133" t="s">
        <v>512</v>
      </c>
      <c r="E430" s="120"/>
      <c r="F430" s="27"/>
      <c r="G430" s="168"/>
      <c r="H430" s="42">
        <v>10</v>
      </c>
      <c r="I430" s="42"/>
      <c r="J430" s="42"/>
      <c r="K430" s="43">
        <f t="shared" si="19"/>
        <v>10</v>
      </c>
      <c r="L430" s="43">
        <f t="shared" si="18"/>
        <v>22577.160000000011</v>
      </c>
      <c r="M430" s="18" t="s">
        <v>587</v>
      </c>
      <c r="O430" s="213"/>
      <c r="P430"/>
      <c r="Q430" s="261"/>
      <c r="R430"/>
      <c r="S430" s="261"/>
      <c r="T430" s="261"/>
      <c r="U430" s="262"/>
    </row>
    <row r="431" spans="1:21" x14ac:dyDescent="0.3">
      <c r="A431" s="26"/>
      <c r="B431" s="105" t="s">
        <v>492</v>
      </c>
      <c r="C431" s="4" t="s">
        <v>600</v>
      </c>
      <c r="D431" s="133" t="s">
        <v>512</v>
      </c>
      <c r="E431" s="33"/>
      <c r="F431" s="27"/>
      <c r="G431" s="33"/>
      <c r="H431" s="42">
        <v>10</v>
      </c>
      <c r="I431" s="42"/>
      <c r="J431" s="42"/>
      <c r="K431" s="43">
        <f t="shared" si="19"/>
        <v>10</v>
      </c>
      <c r="L431" s="43">
        <f t="shared" si="18"/>
        <v>22587.160000000011</v>
      </c>
      <c r="M431" s="18" t="s">
        <v>90</v>
      </c>
      <c r="O431" s="213"/>
      <c r="P431"/>
      <c r="Q431" s="261"/>
      <c r="R431"/>
      <c r="S431" s="261"/>
      <c r="T431" s="261"/>
      <c r="U431" s="262"/>
    </row>
    <row r="432" spans="1:21" x14ac:dyDescent="0.3">
      <c r="A432" s="26"/>
      <c r="B432" s="105" t="s">
        <v>492</v>
      </c>
      <c r="C432" s="4" t="s">
        <v>1269</v>
      </c>
      <c r="D432" s="133" t="s">
        <v>512</v>
      </c>
      <c r="E432" s="33"/>
      <c r="F432" s="27"/>
      <c r="G432" s="33"/>
      <c r="H432" s="42">
        <v>50</v>
      </c>
      <c r="I432" s="42"/>
      <c r="J432" s="42"/>
      <c r="K432" s="43">
        <f t="shared" si="19"/>
        <v>50</v>
      </c>
      <c r="L432" s="43">
        <f t="shared" si="18"/>
        <v>22637.160000000011</v>
      </c>
      <c r="M432" s="18" t="s">
        <v>90</v>
      </c>
      <c r="O432" s="213"/>
      <c r="P432"/>
      <c r="Q432" s="261"/>
      <c r="R432"/>
      <c r="S432"/>
      <c r="T432"/>
      <c r="U432" s="262"/>
    </row>
    <row r="433" spans="1:21" x14ac:dyDescent="0.3">
      <c r="A433" s="26"/>
      <c r="B433" s="131" t="s">
        <v>492</v>
      </c>
      <c r="C433" s="4" t="s">
        <v>1275</v>
      </c>
      <c r="D433" s="133" t="s">
        <v>623</v>
      </c>
      <c r="E433" s="33"/>
      <c r="F433" s="27"/>
      <c r="G433" s="120" t="s">
        <v>523</v>
      </c>
      <c r="H433" s="42"/>
      <c r="I433" s="42"/>
      <c r="J433" s="42">
        <v>-100</v>
      </c>
      <c r="K433" s="43">
        <f t="shared" si="19"/>
        <v>-100</v>
      </c>
      <c r="L433" s="43">
        <f t="shared" si="18"/>
        <v>22537.160000000011</v>
      </c>
      <c r="O433" s="213"/>
      <c r="P433"/>
      <c r="Q433" s="261"/>
      <c r="R433"/>
      <c r="S433" s="261"/>
      <c r="T433" s="261"/>
      <c r="U433" s="262"/>
    </row>
    <row r="434" spans="1:21" x14ac:dyDescent="0.3">
      <c r="A434" s="26"/>
      <c r="B434" s="131" t="s">
        <v>492</v>
      </c>
      <c r="C434" s="4" t="s">
        <v>435</v>
      </c>
      <c r="D434" s="133" t="s">
        <v>518</v>
      </c>
      <c r="E434" s="33"/>
      <c r="F434" s="27"/>
      <c r="G434" s="120" t="s">
        <v>523</v>
      </c>
      <c r="H434" s="42"/>
      <c r="I434" s="42"/>
      <c r="J434" s="42">
        <v>-9</v>
      </c>
      <c r="K434" s="43">
        <f t="shared" si="19"/>
        <v>-9</v>
      </c>
      <c r="L434" s="43">
        <f t="shared" si="18"/>
        <v>22528.160000000011</v>
      </c>
      <c r="O434" s="213"/>
      <c r="P434"/>
      <c r="Q434" s="261"/>
      <c r="R434"/>
      <c r="S434" s="261"/>
      <c r="T434" s="261"/>
      <c r="U434" s="262"/>
    </row>
    <row r="435" spans="1:21" x14ac:dyDescent="0.3">
      <c r="A435" s="26"/>
      <c r="B435" s="131" t="s">
        <v>492</v>
      </c>
      <c r="C435" s="4" t="s">
        <v>234</v>
      </c>
      <c r="D435" s="133" t="s">
        <v>12</v>
      </c>
      <c r="E435" s="33"/>
      <c r="F435" s="27"/>
      <c r="G435" s="33"/>
      <c r="H435" s="42"/>
      <c r="I435" s="42"/>
      <c r="J435" s="42">
        <v>-28.28</v>
      </c>
      <c r="K435" s="43">
        <f t="shared" si="19"/>
        <v>-28.28</v>
      </c>
      <c r="L435" s="43">
        <f t="shared" si="18"/>
        <v>22499.880000000012</v>
      </c>
      <c r="O435" s="213"/>
      <c r="P435"/>
      <c r="Q435" s="261"/>
      <c r="R435"/>
      <c r="S435" s="261"/>
      <c r="T435" s="261"/>
      <c r="U435" s="262"/>
    </row>
    <row r="436" spans="1:21" x14ac:dyDescent="0.3">
      <c r="A436" s="26"/>
      <c r="B436" s="131" t="s">
        <v>492</v>
      </c>
      <c r="C436" s="4" t="s">
        <v>1285</v>
      </c>
      <c r="D436" s="133" t="s">
        <v>518</v>
      </c>
      <c r="E436" s="33"/>
      <c r="F436" s="27"/>
      <c r="G436" s="33"/>
      <c r="H436" s="42"/>
      <c r="I436" s="42"/>
      <c r="J436" s="42">
        <v>-432</v>
      </c>
      <c r="K436" s="43">
        <f t="shared" si="19"/>
        <v>-432</v>
      </c>
      <c r="L436" s="43">
        <f t="shared" si="18"/>
        <v>22067.880000000012</v>
      </c>
    </row>
    <row r="437" spans="1:21" x14ac:dyDescent="0.3">
      <c r="A437" s="12"/>
      <c r="B437" s="29"/>
      <c r="C437" s="11"/>
      <c r="D437" s="11"/>
      <c r="E437" s="33"/>
      <c r="F437" s="27"/>
      <c r="G437" s="33"/>
      <c r="H437" s="42"/>
      <c r="I437" s="42"/>
      <c r="J437" s="42"/>
      <c r="K437" s="43">
        <f t="shared" si="19"/>
        <v>0</v>
      </c>
      <c r="L437" s="75">
        <f t="shared" si="18"/>
        <v>22067.880000000012</v>
      </c>
    </row>
    <row r="438" spans="1:21" ht="13.5" thickBot="1" x14ac:dyDescent="0.35">
      <c r="A438" s="12"/>
      <c r="B438" s="29"/>
      <c r="C438" s="11"/>
      <c r="D438" s="27"/>
      <c r="E438" s="33"/>
      <c r="F438" s="27"/>
      <c r="G438" s="33">
        <f>+L38</f>
        <v>0</v>
      </c>
      <c r="H438" s="173"/>
      <c r="I438" s="173">
        <f>SUM(I1:I437)</f>
        <v>0</v>
      </c>
      <c r="J438" s="173">
        <v>-46627.639999999992</v>
      </c>
      <c r="K438" s="43">
        <f t="shared" si="19"/>
        <v>-46627.639999999992</v>
      </c>
    </row>
    <row r="439" spans="1:21" ht="13.5" thickTop="1" x14ac:dyDescent="0.3">
      <c r="B439" s="59"/>
      <c r="C439" s="11"/>
      <c r="D439" s="27"/>
      <c r="E439" s="33"/>
      <c r="F439" s="52"/>
      <c r="G439" s="33"/>
      <c r="H439" s="42"/>
      <c r="I439" s="42"/>
      <c r="J439" s="42"/>
      <c r="K439" s="43">
        <f t="shared" si="19"/>
        <v>0</v>
      </c>
    </row>
    <row r="440" spans="1:21" x14ac:dyDescent="0.3">
      <c r="A440" s="24" t="s">
        <v>76</v>
      </c>
      <c r="B440" s="255"/>
      <c r="C440" s="11"/>
      <c r="D440" s="27"/>
      <c r="E440" s="33"/>
      <c r="F440" s="27"/>
      <c r="G440" s="33"/>
      <c r="H440" s="42"/>
      <c r="I440" s="42"/>
      <c r="J440" s="42"/>
    </row>
    <row r="441" spans="1:21" x14ac:dyDescent="0.3">
      <c r="A441" s="12"/>
      <c r="B441" s="29"/>
      <c r="C441" s="11" t="s">
        <v>110</v>
      </c>
      <c r="D441" s="27"/>
      <c r="E441" s="33"/>
      <c r="F441" s="27"/>
      <c r="G441" s="33"/>
      <c r="H441" s="42"/>
      <c r="I441" s="42"/>
      <c r="J441" s="42"/>
      <c r="K441" s="43">
        <v>23660.86</v>
      </c>
    </row>
    <row r="442" spans="1:21" x14ac:dyDescent="0.3">
      <c r="A442" s="12"/>
      <c r="B442" s="29"/>
      <c r="C442" s="11" t="s">
        <v>111</v>
      </c>
      <c r="D442" s="27"/>
      <c r="F442" s="11"/>
      <c r="K442" s="254" t="s">
        <v>1273</v>
      </c>
      <c r="L442" s="43">
        <f>SUM(K441:K442)</f>
        <v>23660.86</v>
      </c>
    </row>
    <row r="443" spans="1:21" x14ac:dyDescent="0.3">
      <c r="A443" s="12"/>
      <c r="B443" s="29"/>
      <c r="C443" s="11"/>
      <c r="D443" s="27"/>
      <c r="F443" s="11"/>
    </row>
    <row r="444" spans="1:21" x14ac:dyDescent="0.3">
      <c r="A444" s="12"/>
      <c r="B444" s="29"/>
      <c r="C444" s="4" t="s">
        <v>1284</v>
      </c>
      <c r="D444" s="27"/>
      <c r="F444" s="11"/>
    </row>
    <row r="445" spans="1:21" x14ac:dyDescent="0.3">
      <c r="A445" s="12"/>
      <c r="B445" s="29"/>
      <c r="C445" s="11"/>
      <c r="D445" s="27"/>
      <c r="F445" s="11"/>
    </row>
    <row r="446" spans="1:21" x14ac:dyDescent="0.3">
      <c r="A446" s="12"/>
      <c r="B446" s="105" t="s">
        <v>483</v>
      </c>
      <c r="C446" s="4" t="s">
        <v>982</v>
      </c>
      <c r="D446" s="252" t="s">
        <v>1223</v>
      </c>
      <c r="E446"/>
      <c r="F446"/>
      <c r="G446"/>
      <c r="H446">
        <v>-50</v>
      </c>
    </row>
    <row r="447" spans="1:21" x14ac:dyDescent="0.3">
      <c r="A447" s="12"/>
      <c r="B447" s="105" t="s">
        <v>400</v>
      </c>
      <c r="C447" s="4" t="s">
        <v>1199</v>
      </c>
      <c r="D447" s="244" t="s">
        <v>1220</v>
      </c>
      <c r="E447" s="15"/>
      <c r="F447"/>
      <c r="G447" s="15"/>
      <c r="H447">
        <v>-50</v>
      </c>
    </row>
    <row r="448" spans="1:21" x14ac:dyDescent="0.3">
      <c r="A448" s="12"/>
      <c r="B448" s="105" t="s">
        <v>400</v>
      </c>
      <c r="C448" s="4" t="s">
        <v>1196</v>
      </c>
      <c r="D448" s="244" t="s">
        <v>1219</v>
      </c>
      <c r="E448" s="15"/>
      <c r="F448"/>
      <c r="G448" s="15"/>
      <c r="H448">
        <v>-50</v>
      </c>
    </row>
    <row r="449" spans="1:13" x14ac:dyDescent="0.3">
      <c r="A449" s="12"/>
      <c r="B449" s="105" t="s">
        <v>400</v>
      </c>
      <c r="C449" s="4" t="s">
        <v>1134</v>
      </c>
      <c r="D449" s="244" t="s">
        <v>1208</v>
      </c>
      <c r="E449" s="15"/>
      <c r="F449"/>
      <c r="G449" s="15"/>
      <c r="H449">
        <v>-50</v>
      </c>
    </row>
    <row r="450" spans="1:13" x14ac:dyDescent="0.3">
      <c r="A450" s="12"/>
      <c r="B450" s="108" t="s">
        <v>491</v>
      </c>
      <c r="C450" s="4" t="s">
        <v>1271</v>
      </c>
      <c r="D450" s="52"/>
      <c r="E450" s="15"/>
      <c r="G450" s="15"/>
      <c r="H450">
        <v>-364.5</v>
      </c>
      <c r="I450" s="254" t="s">
        <v>1283</v>
      </c>
    </row>
    <row r="451" spans="1:13" x14ac:dyDescent="0.3">
      <c r="A451" s="12"/>
      <c r="B451" s="108" t="s">
        <v>491</v>
      </c>
      <c r="C451" s="4" t="s">
        <v>1235</v>
      </c>
      <c r="D451" s="244" t="s">
        <v>1233</v>
      </c>
      <c r="E451" s="15"/>
      <c r="F451"/>
      <c r="G451" s="15"/>
      <c r="H451">
        <v>-50</v>
      </c>
      <c r="M451" s="64"/>
    </row>
    <row r="452" spans="1:13" x14ac:dyDescent="0.3">
      <c r="A452" s="12"/>
      <c r="B452" s="108" t="s">
        <v>491</v>
      </c>
      <c r="C452" s="4" t="s">
        <v>1249</v>
      </c>
      <c r="D452" s="244" t="s">
        <v>1256</v>
      </c>
      <c r="E452" s="15"/>
      <c r="F452"/>
      <c r="G452" s="15"/>
      <c r="H452">
        <v>-50</v>
      </c>
    </row>
    <row r="453" spans="1:13" x14ac:dyDescent="0.3">
      <c r="A453" s="12"/>
      <c r="B453" s="105" t="s">
        <v>492</v>
      </c>
      <c r="C453" s="4" t="s">
        <v>1271</v>
      </c>
      <c r="D453" s="52"/>
      <c r="E453" s="15"/>
      <c r="G453" s="15"/>
      <c r="H453">
        <v>-259.2</v>
      </c>
      <c r="I453" s="254" t="s">
        <v>1283</v>
      </c>
    </row>
    <row r="454" spans="1:13" x14ac:dyDescent="0.3">
      <c r="A454" s="12"/>
      <c r="B454" s="105" t="s">
        <v>492</v>
      </c>
      <c r="C454" s="4" t="s">
        <v>1245</v>
      </c>
      <c r="D454" s="244" t="s">
        <v>1266</v>
      </c>
      <c r="E454" s="15"/>
      <c r="F454"/>
      <c r="G454" s="15"/>
      <c r="H454">
        <v>-100</v>
      </c>
    </row>
    <row r="455" spans="1:13" x14ac:dyDescent="0.3">
      <c r="A455" s="12"/>
      <c r="B455" s="105" t="s">
        <v>492</v>
      </c>
      <c r="C455" s="4" t="s">
        <v>1276</v>
      </c>
      <c r="D455" s="259" t="s">
        <v>523</v>
      </c>
      <c r="H455" s="260">
        <v>-100</v>
      </c>
      <c r="I455" s="254" t="s">
        <v>1283</v>
      </c>
    </row>
    <row r="456" spans="1:13" x14ac:dyDescent="0.3">
      <c r="A456" s="12"/>
      <c r="B456" s="105" t="s">
        <v>492</v>
      </c>
      <c r="C456" s="4" t="s">
        <v>1277</v>
      </c>
      <c r="D456" s="244" t="s">
        <v>523</v>
      </c>
      <c r="E456" s="15"/>
      <c r="F456"/>
      <c r="G456" s="15"/>
      <c r="H456">
        <v>-9</v>
      </c>
      <c r="I456" s="254" t="s">
        <v>1283</v>
      </c>
    </row>
    <row r="457" spans="1:13" x14ac:dyDescent="0.3">
      <c r="A457" s="12"/>
      <c r="B457" s="105" t="s">
        <v>492</v>
      </c>
      <c r="C457" s="4" t="s">
        <v>1246</v>
      </c>
      <c r="D457" s="244"/>
      <c r="E457" s="15"/>
      <c r="F457"/>
      <c r="G457" s="15"/>
      <c r="H457">
        <v>-28.28</v>
      </c>
    </row>
    <row r="458" spans="1:13" x14ac:dyDescent="0.3">
      <c r="A458" s="12"/>
      <c r="B458" s="105" t="s">
        <v>492</v>
      </c>
      <c r="C458" s="4" t="s">
        <v>1285</v>
      </c>
      <c r="D458" s="244"/>
      <c r="E458" s="15"/>
      <c r="F458"/>
      <c r="G458" s="15"/>
      <c r="H458">
        <v>-432</v>
      </c>
      <c r="L458" s="43">
        <f>SUM(H446:H458)</f>
        <v>-1592.98</v>
      </c>
    </row>
    <row r="459" spans="1:13" ht="13.5" thickBot="1" x14ac:dyDescent="0.35">
      <c r="A459" s="12"/>
      <c r="B459" s="29"/>
      <c r="C459" s="11"/>
      <c r="D459" s="52"/>
    </row>
    <row r="460" spans="1:13" ht="17.25" customHeight="1" thickBot="1" x14ac:dyDescent="0.35">
      <c r="A460" s="12"/>
      <c r="B460" s="29"/>
      <c r="C460" s="74" t="s">
        <v>1270</v>
      </c>
      <c r="D460" s="27"/>
      <c r="F460" s="11"/>
      <c r="L460" s="256">
        <f>SUM(L441:L459)</f>
        <v>22067.88</v>
      </c>
    </row>
    <row r="461" spans="1:13" ht="13.5" thickTop="1" x14ac:dyDescent="0.3">
      <c r="A461" s="12"/>
      <c r="B461" s="29"/>
      <c r="C461" s="11"/>
      <c r="D461" s="27"/>
      <c r="F461" s="11"/>
    </row>
    <row r="462" spans="1:13" x14ac:dyDescent="0.3">
      <c r="A462" s="12"/>
      <c r="B462" s="29"/>
      <c r="C462" s="11"/>
      <c r="D462" s="27"/>
      <c r="F462" s="11"/>
    </row>
    <row r="463" spans="1:13" x14ac:dyDescent="0.3">
      <c r="A463" s="12"/>
      <c r="B463" s="257" t="s">
        <v>1272</v>
      </c>
      <c r="C463" s="11"/>
      <c r="D463" s="27"/>
      <c r="F463" s="11"/>
    </row>
    <row r="464" spans="1:13" x14ac:dyDescent="0.3">
      <c r="B464" s="59"/>
      <c r="D464" s="52"/>
    </row>
    <row r="465" spans="2:8" x14ac:dyDescent="0.3">
      <c r="B465" s="109" t="s">
        <v>490</v>
      </c>
      <c r="C465" s="4" t="s">
        <v>1186</v>
      </c>
      <c r="D465" s="132" t="s">
        <v>500</v>
      </c>
      <c r="E465" s="121" t="s">
        <v>815</v>
      </c>
      <c r="F465" s="27"/>
      <c r="G465" s="207" t="s">
        <v>324</v>
      </c>
      <c r="H465" s="49">
        <v>50</v>
      </c>
    </row>
    <row r="466" spans="2:8" x14ac:dyDescent="0.3">
      <c r="B466" s="109" t="s">
        <v>490</v>
      </c>
      <c r="C466" s="4" t="s">
        <v>859</v>
      </c>
      <c r="D466" s="132" t="s">
        <v>500</v>
      </c>
      <c r="E466" s="121" t="s">
        <v>817</v>
      </c>
      <c r="F466" s="27"/>
      <c r="G466" s="207" t="s">
        <v>324</v>
      </c>
      <c r="H466" s="49">
        <v>50</v>
      </c>
    </row>
    <row r="467" spans="2:8" x14ac:dyDescent="0.3">
      <c r="B467" s="105" t="s">
        <v>400</v>
      </c>
      <c r="C467" s="4" t="s">
        <v>1216</v>
      </c>
      <c r="D467" s="132" t="s">
        <v>500</v>
      </c>
      <c r="E467" s="121" t="s">
        <v>845</v>
      </c>
      <c r="F467" s="27"/>
      <c r="G467" s="207" t="s">
        <v>324</v>
      </c>
      <c r="H467" s="49">
        <v>50</v>
      </c>
    </row>
    <row r="468" spans="2:8" x14ac:dyDescent="0.3">
      <c r="B468" s="108" t="s">
        <v>491</v>
      </c>
      <c r="C468" s="4" t="s">
        <v>1239</v>
      </c>
      <c r="D468" s="132" t="s">
        <v>500</v>
      </c>
      <c r="E468" s="121" t="s">
        <v>874</v>
      </c>
      <c r="F468" s="27"/>
      <c r="G468" s="207" t="s">
        <v>324</v>
      </c>
      <c r="H468" s="49">
        <v>100</v>
      </c>
    </row>
    <row r="469" spans="2:8" x14ac:dyDescent="0.3">
      <c r="B469" s="108" t="s">
        <v>491</v>
      </c>
      <c r="C469" s="4" t="s">
        <v>655</v>
      </c>
      <c r="D469" s="132" t="s">
        <v>500</v>
      </c>
      <c r="E469" s="121" t="s">
        <v>884</v>
      </c>
      <c r="F469" s="27"/>
      <c r="G469" s="207" t="s">
        <v>324</v>
      </c>
      <c r="H469" s="49">
        <v>50</v>
      </c>
    </row>
    <row r="470" spans="2:8" x14ac:dyDescent="0.3">
      <c r="B470" s="105" t="s">
        <v>492</v>
      </c>
      <c r="C470" s="4" t="s">
        <v>907</v>
      </c>
      <c r="D470" s="132" t="s">
        <v>500</v>
      </c>
      <c r="E470" s="121" t="s">
        <v>1252</v>
      </c>
      <c r="F470" s="52"/>
      <c r="G470" s="207" t="s">
        <v>324</v>
      </c>
      <c r="H470" s="49">
        <v>50</v>
      </c>
    </row>
    <row r="471" spans="2:8" x14ac:dyDescent="0.3">
      <c r="B471" s="105" t="s">
        <v>492</v>
      </c>
      <c r="C471" s="4" t="s">
        <v>1265</v>
      </c>
      <c r="D471" s="132" t="s">
        <v>500</v>
      </c>
      <c r="E471" s="121" t="s">
        <v>1279</v>
      </c>
      <c r="G471" s="207" t="s">
        <v>324</v>
      </c>
      <c r="H471" s="49">
        <v>50</v>
      </c>
    </row>
    <row r="472" spans="2:8" x14ac:dyDescent="0.3">
      <c r="B472" s="131" t="s">
        <v>492</v>
      </c>
      <c r="C472" s="4" t="s">
        <v>1264</v>
      </c>
      <c r="D472" s="132" t="s">
        <v>500</v>
      </c>
      <c r="E472" s="121" t="s">
        <v>1280</v>
      </c>
      <c r="F472" s="52"/>
      <c r="G472" s="207" t="s">
        <v>324</v>
      </c>
      <c r="H472" s="49">
        <v>50</v>
      </c>
    </row>
    <row r="473" spans="2:8" x14ac:dyDescent="0.3">
      <c r="B473" s="131" t="s">
        <v>492</v>
      </c>
      <c r="C473" s="4" t="s">
        <v>1281</v>
      </c>
      <c r="D473" s="112" t="s">
        <v>504</v>
      </c>
      <c r="E473" s="121" t="s">
        <v>1282</v>
      </c>
      <c r="F473" s="52"/>
      <c r="G473" s="207" t="s">
        <v>324</v>
      </c>
      <c r="H473" s="49">
        <v>100</v>
      </c>
    </row>
    <row r="474" spans="2:8" x14ac:dyDescent="0.3">
      <c r="B474" s="131"/>
      <c r="C474" s="4"/>
      <c r="D474" s="27"/>
      <c r="E474" s="120"/>
      <c r="F474" s="52"/>
      <c r="G474" s="210"/>
      <c r="H474" s="42"/>
    </row>
    <row r="475" spans="2:8" x14ac:dyDescent="0.3">
      <c r="B475" s="59"/>
      <c r="D475" s="258" t="s">
        <v>1274</v>
      </c>
      <c r="H475" s="75">
        <f>SUM(H465:H473)</f>
        <v>550</v>
      </c>
    </row>
    <row r="476" spans="2:8" x14ac:dyDescent="0.3">
      <c r="B476" s="59"/>
      <c r="D476" s="52"/>
    </row>
    <row r="477" spans="2:8" x14ac:dyDescent="0.3">
      <c r="B477" s="59"/>
      <c r="D477" s="52"/>
    </row>
    <row r="478" spans="2:8" x14ac:dyDescent="0.3">
      <c r="B478" s="59"/>
      <c r="D478" s="52"/>
    </row>
    <row r="479" spans="2:8" x14ac:dyDescent="0.3">
      <c r="B479" s="59"/>
      <c r="D479" s="52"/>
    </row>
    <row r="480" spans="2:8" x14ac:dyDescent="0.3">
      <c r="B480" s="59"/>
      <c r="D480" s="52"/>
    </row>
    <row r="481" spans="2:4" x14ac:dyDescent="0.3">
      <c r="B481" s="59"/>
      <c r="D481" s="52"/>
    </row>
    <row r="482" spans="2:4" x14ac:dyDescent="0.3">
      <c r="B482" s="59"/>
      <c r="D482" s="52"/>
    </row>
    <row r="483" spans="2:4" x14ac:dyDescent="0.3">
      <c r="B483" s="59"/>
      <c r="D483" s="52"/>
    </row>
    <row r="484" spans="2:4" x14ac:dyDescent="0.3">
      <c r="B484" s="59"/>
      <c r="D484" s="52"/>
    </row>
    <row r="485" spans="2:4" x14ac:dyDescent="0.3">
      <c r="B485" s="59"/>
      <c r="D485" s="52"/>
    </row>
    <row r="486" spans="2:4" x14ac:dyDescent="0.3">
      <c r="B486" s="59"/>
      <c r="D486" s="52"/>
    </row>
    <row r="487" spans="2:4" x14ac:dyDescent="0.3">
      <c r="B487" s="59"/>
      <c r="D487" s="52"/>
    </row>
    <row r="488" spans="2:4" x14ac:dyDescent="0.3">
      <c r="B488" s="59"/>
      <c r="D488" s="52"/>
    </row>
    <row r="489" spans="2:4" x14ac:dyDescent="0.3">
      <c r="B489" s="59"/>
      <c r="D489" s="52"/>
    </row>
    <row r="490" spans="2:4" x14ac:dyDescent="0.3">
      <c r="B490" s="59"/>
      <c r="D490" s="52"/>
    </row>
    <row r="491" spans="2:4" x14ac:dyDescent="0.3">
      <c r="B491" s="59"/>
      <c r="D491" s="52"/>
    </row>
    <row r="492" spans="2:4" x14ac:dyDescent="0.3">
      <c r="B492" s="59"/>
      <c r="D492" s="52"/>
    </row>
    <row r="493" spans="2:4" x14ac:dyDescent="0.3">
      <c r="B493" s="59"/>
      <c r="D493" s="52"/>
    </row>
    <row r="494" spans="2:4" x14ac:dyDescent="0.3">
      <c r="B494" s="59"/>
      <c r="D494" s="52"/>
    </row>
    <row r="495" spans="2:4" x14ac:dyDescent="0.3">
      <c r="B495" s="59"/>
      <c r="D495" s="52"/>
    </row>
    <row r="496" spans="2:4" x14ac:dyDescent="0.3">
      <c r="B496" s="59"/>
      <c r="D496" s="52"/>
    </row>
    <row r="497" spans="2:4" x14ac:dyDescent="0.3">
      <c r="B497" s="59"/>
      <c r="D497" s="52"/>
    </row>
    <row r="498" spans="2:4" x14ac:dyDescent="0.3">
      <c r="B498" s="59"/>
      <c r="D498" s="52"/>
    </row>
    <row r="499" spans="2:4" x14ac:dyDescent="0.3">
      <c r="B499" s="59"/>
      <c r="D499" s="52"/>
    </row>
    <row r="500" spans="2:4" x14ac:dyDescent="0.3">
      <c r="B500" s="59"/>
      <c r="D500" s="52"/>
    </row>
    <row r="501" spans="2:4" x14ac:dyDescent="0.3">
      <c r="B501" s="59"/>
      <c r="D501" s="52"/>
    </row>
    <row r="502" spans="2:4" x14ac:dyDescent="0.3">
      <c r="D502" s="52"/>
    </row>
  </sheetData>
  <phoneticPr fontId="9" type="noConversion"/>
  <pageMargins left="0.31496062992125984" right="0.31496062992125984" top="0.74803149606299213" bottom="0.74803149606299213" header="0.31496062992125984" footer="0.31496062992125984"/>
  <pageSetup paperSize="9" scale="58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53"/>
  <sheetViews>
    <sheetView workbookViewId="0">
      <pane xSplit="2" ySplit="1" topLeftCell="D2" activePane="bottomRight" state="frozen"/>
      <selection activeCell="M382" sqref="M382:Q383"/>
      <selection pane="topRight" activeCell="M382" sqref="M382:Q383"/>
      <selection pane="bottomLeft" activeCell="M382" sqref="M382:Q383"/>
      <selection pane="bottomRight" activeCell="E3" sqref="E3"/>
    </sheetView>
  </sheetViews>
  <sheetFormatPr defaultColWidth="8.7265625" defaultRowHeight="13" x14ac:dyDescent="0.35"/>
  <cols>
    <col min="1" max="1" width="30.453125" style="9" bestFit="1" customWidth="1"/>
    <col min="2" max="2" width="9.453125" style="9" customWidth="1"/>
    <col min="3" max="4" width="11.1796875" style="9" bestFit="1" customWidth="1"/>
    <col min="5" max="6" width="10.81640625" style="9" bestFit="1" customWidth="1"/>
    <col min="7" max="7" width="11.1796875" style="9" bestFit="1" customWidth="1"/>
    <col min="8" max="8" width="11.453125" style="9" bestFit="1" customWidth="1"/>
    <col min="9" max="10" width="11.1796875" style="9" bestFit="1" customWidth="1"/>
    <col min="11" max="11" width="10.36328125" style="9" bestFit="1" customWidth="1"/>
    <col min="12" max="12" width="10.54296875" style="9" bestFit="1" customWidth="1"/>
    <col min="13" max="13" width="10.36328125" style="9" bestFit="1" customWidth="1"/>
    <col min="14" max="15" width="10.54296875" style="9" bestFit="1" customWidth="1"/>
    <col min="16" max="16" width="11.453125" style="9" bestFit="1" customWidth="1"/>
    <col min="17" max="17" width="11.08984375" style="14" bestFit="1" customWidth="1"/>
    <col min="18" max="16384" width="8.7265625" style="9"/>
  </cols>
  <sheetData>
    <row r="1" spans="1:17" s="10" customFormat="1" x14ac:dyDescent="0.35">
      <c r="C1" s="66" t="s">
        <v>24</v>
      </c>
      <c r="D1" s="66" t="s">
        <v>25</v>
      </c>
      <c r="E1" s="66" t="s">
        <v>26</v>
      </c>
      <c r="F1" s="66" t="s">
        <v>27</v>
      </c>
      <c r="G1" s="66" t="s">
        <v>516</v>
      </c>
      <c r="H1" s="66" t="s">
        <v>28</v>
      </c>
      <c r="I1" s="66" t="s">
        <v>520</v>
      </c>
      <c r="J1" s="66" t="s">
        <v>521</v>
      </c>
      <c r="K1" s="66" t="s">
        <v>29</v>
      </c>
      <c r="L1" s="66" t="s">
        <v>30</v>
      </c>
      <c r="M1" s="66" t="s">
        <v>31</v>
      </c>
      <c r="N1" s="66" t="s">
        <v>32</v>
      </c>
      <c r="O1" s="66" t="s">
        <v>33</v>
      </c>
      <c r="P1" s="66" t="s">
        <v>34</v>
      </c>
      <c r="Q1" s="67" t="s">
        <v>35</v>
      </c>
    </row>
    <row r="2" spans="1:17" x14ac:dyDescent="0.3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/>
    </row>
    <row r="3" spans="1:17" x14ac:dyDescent="0.35">
      <c r="A3" s="9" t="s">
        <v>36</v>
      </c>
      <c r="C3" s="68"/>
      <c r="D3" s="71">
        <f>SUMIFS('CASH BOOK 2019'!$K:$K,'CASH BOOK 2019'!$B:$B,'CASHFLOW 2019'!D$1,'CASH BOOK 2019'!$D:$D,'CASHFLOW 2019'!$A3)</f>
        <v>8338.6299999999992</v>
      </c>
      <c r="E3" s="71">
        <f>SUMIFS('CASH BOOK 2019'!$K:$K,'CASH BOOK 2019'!$B:$B,'CASHFLOW 2019'!E$1,'CASH BOOK 2019'!$D:$D,'CASHFLOW 2019'!$A3)</f>
        <v>1084.9000000000001</v>
      </c>
      <c r="F3" s="71">
        <f>SUMIFS('CASH BOOK 2019'!$K:$K,'CASH BOOK 2019'!$B:$B,'CASHFLOW 2019'!F$1,'CASH BOOK 2019'!$D:$D,'CASHFLOW 2019'!$A3)</f>
        <v>80</v>
      </c>
      <c r="G3" s="71">
        <f>SUMIFS('CASH BOOK 2019'!$K:$K,'CASH BOOK 2019'!$B:$B,'CASHFLOW 2019'!G$1,'CASH BOOK 2019'!$D:$D,'CASHFLOW 2019'!$A3)</f>
        <v>3722.75</v>
      </c>
      <c r="H3" s="71">
        <f>SUMIFS('CASH BOOK 2019'!$K:$K,'CASH BOOK 2019'!$B:$B,'CASHFLOW 2019'!H$1,'CASH BOOK 2019'!$D:$D,'CASHFLOW 2019'!$A3)</f>
        <v>175.4</v>
      </c>
      <c r="I3" s="71">
        <f>SUMIFS('CASH BOOK 2019'!$K:$K,'CASH BOOK 2019'!$B:$B,'CASHFLOW 2019'!I$1,'CASH BOOK 2019'!$D:$D,'CASHFLOW 2019'!$A3)</f>
        <v>-8</v>
      </c>
      <c r="J3" s="71">
        <f>SUMIFS('CASH BOOK 2019'!$K:$K,'CASH BOOK 2019'!$B:$B,'CASHFLOW 2019'!J$1,'CASH BOOK 2019'!$D:$D,'CASHFLOW 2019'!$A3)</f>
        <v>529.87</v>
      </c>
      <c r="K3" s="71">
        <f>SUMIFS('CASH BOOK 2019'!$K:$K,'CASH BOOK 2019'!$B:$B,'CASHFLOW 2019'!K$1,'CASH BOOK 2019'!$D:$D,'CASHFLOW 2019'!$A3)</f>
        <v>0</v>
      </c>
      <c r="L3" s="71">
        <f>SUMIFS('CASH BOOK 2019'!$K:$K,'CASH BOOK 2019'!$B:$B,'CASHFLOW 2019'!L$1,'CASH BOOK 2019'!$D:$D,'CASHFLOW 2019'!$A3)</f>
        <v>4322</v>
      </c>
      <c r="M3" s="71">
        <f>SUMIFS('CASH BOOK 2019'!$K:$K,'CASH BOOK 2019'!$B:$B,'CASHFLOW 2019'!M$1,'CASH BOOK 2019'!$D:$D,'CASHFLOW 2019'!$A3)</f>
        <v>0</v>
      </c>
      <c r="N3" s="71">
        <f>SUMIFS('CASH BOOK 2019'!$K:$K,'CASH BOOK 2019'!$B:$B,'CASHFLOW 2019'!N$1,'CASH BOOK 2019'!$D:$D,'CASHFLOW 2019'!$A3)</f>
        <v>-63.32</v>
      </c>
      <c r="O3" s="71">
        <f>SUMIFS('CASH BOOK 2019'!$K:$K,'CASH BOOK 2019'!$B:$B,'CASHFLOW 2019'!O$1,'CASH BOOK 2019'!$D:$D,'CASHFLOW 2019'!$A3)</f>
        <v>0</v>
      </c>
      <c r="P3" s="92">
        <f t="shared" ref="P3:P11" si="0">SUM(D3:O3)</f>
        <v>18182.23</v>
      </c>
      <c r="Q3" s="70">
        <v>18500</v>
      </c>
    </row>
    <row r="4" spans="1:17" x14ac:dyDescent="0.35">
      <c r="A4" s="9" t="s">
        <v>37</v>
      </c>
      <c r="C4" s="68"/>
      <c r="D4" s="71">
        <f>SUMIFS('CASH BOOK 2019'!$K:$K,'CASH BOOK 2019'!$B:$B,'CASHFLOW 2019'!D$1,'CASH BOOK 2019'!$D:$D,'CASHFLOW 2019'!$A4)</f>
        <v>474</v>
      </c>
      <c r="E4" s="71">
        <f>SUMIFS('CASH BOOK 2019'!$K:$K,'CASH BOOK 2019'!$B:$B,'CASHFLOW 2019'!E$1,'CASH BOOK 2019'!$D:$D,'CASHFLOW 2019'!$A4)</f>
        <v>562.5</v>
      </c>
      <c r="F4" s="71">
        <f>SUMIFS('CASH BOOK 2019'!$K:$K,'CASH BOOK 2019'!$B:$B,'CASHFLOW 2019'!F$1,'CASH BOOK 2019'!$D:$D,'CASHFLOW 2019'!$A4)</f>
        <v>619.5</v>
      </c>
      <c r="G4" s="71">
        <f>SUMIFS('CASH BOOK 2019'!$K:$K,'CASH BOOK 2019'!$B:$B,'CASHFLOW 2019'!G$1,'CASH BOOK 2019'!$D:$D,'CASHFLOW 2019'!$A4)</f>
        <v>401.7</v>
      </c>
      <c r="H4" s="71">
        <f>SUMIFS('CASH BOOK 2019'!$K:$K,'CASH BOOK 2019'!$B:$B,'CASHFLOW 2019'!H$1,'CASH BOOK 2019'!$D:$D,'CASHFLOW 2019'!$A4)</f>
        <v>930.5</v>
      </c>
      <c r="I4" s="71">
        <f>SUMIFS('CASH BOOK 2019'!$K:$K,'CASH BOOK 2019'!$B:$B,'CASHFLOW 2019'!I$1,'CASH BOOK 2019'!$D:$D,'CASHFLOW 2019'!$A4)</f>
        <v>891.5</v>
      </c>
      <c r="J4" s="71">
        <f>SUMIFS('CASH BOOK 2019'!$K:$K,'CASH BOOK 2019'!$B:$B,'CASHFLOW 2019'!J$1,'CASH BOOK 2019'!$D:$D,'CASHFLOW 2019'!$A4)</f>
        <v>441.5</v>
      </c>
      <c r="K4" s="71">
        <f>SUMIFS('CASH BOOK 2019'!$K:$K,'CASH BOOK 2019'!$B:$B,'CASHFLOW 2019'!K$1,'CASH BOOK 2019'!$D:$D,'CASHFLOW 2019'!$A4)</f>
        <v>527</v>
      </c>
      <c r="L4" s="71">
        <f>SUMIFS('CASH BOOK 2019'!$K:$K,'CASH BOOK 2019'!$B:$B,'CASHFLOW 2019'!L$1,'CASH BOOK 2019'!$D:$D,'CASHFLOW 2019'!$A4)</f>
        <v>690</v>
      </c>
      <c r="M4" s="71">
        <f>SUMIFS('CASH BOOK 2019'!$K:$K,'CASH BOOK 2019'!$B:$B,'CASHFLOW 2019'!M$1,'CASH BOOK 2019'!$D:$D,'CASHFLOW 2019'!$A4)</f>
        <v>494</v>
      </c>
      <c r="N4" s="71">
        <f>SUMIFS('CASH BOOK 2019'!$K:$K,'CASH BOOK 2019'!$B:$B,'CASHFLOW 2019'!N$1,'CASH BOOK 2019'!$D:$D,'CASHFLOW 2019'!$A4)</f>
        <v>364.33</v>
      </c>
      <c r="O4" s="71">
        <f>SUMIFS('CASH BOOK 2019'!$K:$K,'CASH BOOK 2019'!$B:$B,'CASHFLOW 2019'!O$1,'CASH BOOK 2019'!$D:$D,'CASHFLOW 2019'!$A4)</f>
        <v>864.67000000000007</v>
      </c>
      <c r="P4" s="69">
        <f t="shared" si="0"/>
        <v>7261.2</v>
      </c>
      <c r="Q4" s="70">
        <v>5000</v>
      </c>
    </row>
    <row r="5" spans="1:17" x14ac:dyDescent="0.35">
      <c r="A5" s="9" t="s">
        <v>622</v>
      </c>
      <c r="C5" s="68"/>
      <c r="D5" s="71">
        <f>SUMIFS('CASH BOOK 2019'!$K:$K,'CASH BOOK 2019'!$B:$B,'CASHFLOW 2019'!D$1,'CASH BOOK 2019'!$D:$D,'CASHFLOW 2019'!$A5)</f>
        <v>120</v>
      </c>
      <c r="E5" s="71">
        <f>SUMIFS('CASH BOOK 2019'!$K:$K,'CASH BOOK 2019'!$B:$B,'CASHFLOW 2019'!E$1,'CASH BOOK 2019'!$D:$D,'CASHFLOW 2019'!$A5)</f>
        <v>0</v>
      </c>
      <c r="F5" s="71">
        <f>SUMIFS('CASH BOOK 2019'!$K:$K,'CASH BOOK 2019'!$B:$B,'CASHFLOW 2019'!F$1,'CASH BOOK 2019'!$D:$D,'CASHFLOW 2019'!$A5)</f>
        <v>0</v>
      </c>
      <c r="G5" s="71">
        <f>SUMIFS('CASH BOOK 2019'!$K:$K,'CASH BOOK 2019'!$B:$B,'CASHFLOW 2019'!G$1,'CASH BOOK 2019'!$D:$D,'CASHFLOW 2019'!$A5)</f>
        <v>0</v>
      </c>
      <c r="H5" s="71">
        <f>SUMIFS('CASH BOOK 2019'!$K:$K,'CASH BOOK 2019'!$B:$B,'CASHFLOW 2019'!H$1,'CASH BOOK 2019'!$D:$D,'CASHFLOW 2019'!$A5)</f>
        <v>0</v>
      </c>
      <c r="I5" s="71">
        <f>SUMIFS('CASH BOOK 2019'!$K:$K,'CASH BOOK 2019'!$B:$B,'CASHFLOW 2019'!I$1,'CASH BOOK 2019'!$D:$D,'CASHFLOW 2019'!$A5)</f>
        <v>0</v>
      </c>
      <c r="J5" s="71">
        <f>SUMIFS('CASH BOOK 2019'!$K:$K,'CASH BOOK 2019'!$B:$B,'CASHFLOW 2019'!J$1,'CASH BOOK 2019'!$D:$D,'CASHFLOW 2019'!$A5)</f>
        <v>0</v>
      </c>
      <c r="K5" s="71">
        <f>SUMIFS('CASH BOOK 2019'!$K:$K,'CASH BOOK 2019'!$B:$B,'CASHFLOW 2019'!K$1,'CASH BOOK 2019'!$D:$D,'CASHFLOW 2019'!$A5)</f>
        <v>0</v>
      </c>
      <c r="L5" s="71">
        <f>SUMIFS('CASH BOOK 2019'!$K:$K,'CASH BOOK 2019'!$B:$B,'CASHFLOW 2019'!L$1,'CASH BOOK 2019'!$D:$D,'CASHFLOW 2019'!$A5)</f>
        <v>0</v>
      </c>
      <c r="M5" s="71">
        <f>SUMIFS('CASH BOOK 2019'!$K:$K,'CASH BOOK 2019'!$B:$B,'CASHFLOW 2019'!M$1,'CASH BOOK 2019'!$D:$D,'CASHFLOW 2019'!$A5)</f>
        <v>0</v>
      </c>
      <c r="N5" s="71">
        <f>SUMIFS('CASH BOOK 2019'!$K:$K,'CASH BOOK 2019'!$B:$B,'CASHFLOW 2019'!N$1,'CASH BOOK 2019'!$D:$D,'CASHFLOW 2019'!$A5)</f>
        <v>0</v>
      </c>
      <c r="O5" s="71">
        <f>SUMIFS('CASH BOOK 2019'!$K:$K,'CASH BOOK 2019'!$B:$B,'CASHFLOW 2019'!O$1,'CASH BOOK 2019'!$D:$D,'CASHFLOW 2019'!$A5)</f>
        <v>0</v>
      </c>
      <c r="P5" s="69">
        <f t="shared" si="0"/>
        <v>120</v>
      </c>
      <c r="Q5" s="70">
        <v>0</v>
      </c>
    </row>
    <row r="6" spans="1:17" ht="13.5" x14ac:dyDescent="0.35">
      <c r="A6" s="7" t="s">
        <v>317</v>
      </c>
      <c r="C6" s="68"/>
      <c r="D6" s="71">
        <f>SUMIFS('CASH BOOK 2019'!$K:$K,'CASH BOOK 2019'!$B:$B,'CASHFLOW 2019'!D$1,'CASH BOOK 2019'!$D:$D,'CASHFLOW 2019'!$A6)</f>
        <v>0</v>
      </c>
      <c r="E6" s="71">
        <f>SUMIFS('CASH BOOK 2019'!$K:$K,'CASH BOOK 2019'!$B:$B,'CASHFLOW 2019'!E$1,'CASH BOOK 2019'!$D:$D,'CASHFLOW 2019'!$A6)</f>
        <v>0</v>
      </c>
      <c r="F6" s="71">
        <f>SUMIFS('CASH BOOK 2019'!$K:$K,'CASH BOOK 2019'!$B:$B,'CASHFLOW 2019'!F$1,'CASH BOOK 2019'!$D:$D,'CASHFLOW 2019'!$A6)</f>
        <v>0</v>
      </c>
      <c r="G6" s="71">
        <f>SUMIFS('CASH BOOK 2019'!$K:$K,'CASH BOOK 2019'!$B:$B,'CASHFLOW 2019'!G$1,'CASH BOOK 2019'!$D:$D,'CASHFLOW 2019'!$A6)</f>
        <v>0</v>
      </c>
      <c r="H6" s="71">
        <f>SUMIFS('CASH BOOK 2019'!$K:$K,'CASH BOOK 2019'!$B:$B,'CASHFLOW 2019'!H$1,'CASH BOOK 2019'!$D:$D,'CASHFLOW 2019'!$A6)</f>
        <v>0</v>
      </c>
      <c r="I6" s="71">
        <f>SUMIFS('CASH BOOK 2019'!$K:$K,'CASH BOOK 2019'!$B:$B,'CASHFLOW 2019'!I$1,'CASH BOOK 2019'!$D:$D,'CASHFLOW 2019'!$A6)</f>
        <v>0</v>
      </c>
      <c r="J6" s="71">
        <f>SUMIFS('CASH BOOK 2019'!$K:$K,'CASH BOOK 2019'!$B:$B,'CASHFLOW 2019'!J$1,'CASH BOOK 2019'!$D:$D,'CASHFLOW 2019'!$A6)</f>
        <v>0</v>
      </c>
      <c r="K6" s="71">
        <f>SUMIFS('CASH BOOK 2019'!$K:$K,'CASH BOOK 2019'!$B:$B,'CASHFLOW 2019'!K$1,'CASH BOOK 2019'!$D:$D,'CASHFLOW 2019'!$A6)</f>
        <v>0</v>
      </c>
      <c r="L6" s="71">
        <f>SUMIFS('CASH BOOK 2019'!$K:$K,'CASH BOOK 2019'!$B:$B,'CASHFLOW 2019'!L$1,'CASH BOOK 2019'!$D:$D,'CASHFLOW 2019'!$A6)</f>
        <v>0</v>
      </c>
      <c r="M6" s="71">
        <f>SUMIFS('CASH BOOK 2019'!$K:$K,'CASH BOOK 2019'!$B:$B,'CASHFLOW 2019'!M$1,'CASH BOOK 2019'!$D:$D,'CASHFLOW 2019'!$A6)</f>
        <v>0</v>
      </c>
      <c r="N6" s="71">
        <f>SUMIFS('CASH BOOK 2019'!$K:$K,'CASH BOOK 2019'!$B:$B,'CASHFLOW 2019'!N$1,'CASH BOOK 2019'!$D:$D,'CASHFLOW 2019'!$A6)</f>
        <v>0</v>
      </c>
      <c r="O6" s="71">
        <f>SUMIFS('CASH BOOK 2019'!$K:$K,'CASH BOOK 2019'!$B:$B,'CASHFLOW 2019'!O$1,'CASH BOOK 2019'!$D:$D,'CASHFLOW 2019'!$A6)</f>
        <v>0</v>
      </c>
      <c r="P6" s="69">
        <f t="shared" si="0"/>
        <v>0</v>
      </c>
      <c r="Q6" s="70"/>
    </row>
    <row r="7" spans="1:17" ht="13.5" x14ac:dyDescent="0.35">
      <c r="A7" s="7" t="s">
        <v>318</v>
      </c>
      <c r="C7" s="68"/>
      <c r="D7" s="71">
        <f>SUMIFS('CASH BOOK 2019'!$K:$K,'CASH BOOK 2019'!$B:$B,'CASHFLOW 2019'!D$1,'CASH BOOK 2019'!$D:$D,'CASHFLOW 2019'!$A7)</f>
        <v>0</v>
      </c>
      <c r="E7" s="71">
        <f>SUMIFS('CASH BOOK 2019'!$K:$K,'CASH BOOK 2019'!$B:$B,'CASHFLOW 2019'!E$1,'CASH BOOK 2019'!$D:$D,'CASHFLOW 2019'!$A7)</f>
        <v>0</v>
      </c>
      <c r="F7" s="71">
        <f>SUMIFS('CASH BOOK 2019'!$K:$K,'CASH BOOK 2019'!$B:$B,'CASHFLOW 2019'!F$1,'CASH BOOK 2019'!$D:$D,'CASHFLOW 2019'!$A7)</f>
        <v>0</v>
      </c>
      <c r="G7" s="71">
        <f>SUMIFS('CASH BOOK 2019'!$K:$K,'CASH BOOK 2019'!$B:$B,'CASHFLOW 2019'!G$1,'CASH BOOK 2019'!$D:$D,'CASHFLOW 2019'!$A7)</f>
        <v>0</v>
      </c>
      <c r="H7" s="71">
        <f>SUMIFS('CASH BOOK 2019'!$K:$K,'CASH BOOK 2019'!$B:$B,'CASHFLOW 2019'!H$1,'CASH BOOK 2019'!$D:$D,'CASHFLOW 2019'!$A7)</f>
        <v>0</v>
      </c>
      <c r="I7" s="71">
        <f>SUMIFS('CASH BOOK 2019'!$K:$K,'CASH BOOK 2019'!$B:$B,'CASHFLOW 2019'!I$1,'CASH BOOK 2019'!$D:$D,'CASHFLOW 2019'!$A7)</f>
        <v>0</v>
      </c>
      <c r="J7" s="71">
        <f>SUMIFS('CASH BOOK 2019'!$K:$K,'CASH BOOK 2019'!$B:$B,'CASHFLOW 2019'!J$1,'CASH BOOK 2019'!$D:$D,'CASHFLOW 2019'!$A7)</f>
        <v>0</v>
      </c>
      <c r="K7" s="71">
        <f>SUMIFS('CASH BOOK 2019'!$K:$K,'CASH BOOK 2019'!$B:$B,'CASHFLOW 2019'!K$1,'CASH BOOK 2019'!$D:$D,'CASHFLOW 2019'!$A7)</f>
        <v>0</v>
      </c>
      <c r="L7" s="71">
        <f>SUMIFS('CASH BOOK 2019'!$K:$K,'CASH BOOK 2019'!$B:$B,'CASHFLOW 2019'!L$1,'CASH BOOK 2019'!$D:$D,'CASHFLOW 2019'!$A7)</f>
        <v>0</v>
      </c>
      <c r="M7" s="71">
        <f>SUMIFS('CASH BOOK 2019'!$K:$K,'CASH BOOK 2019'!$B:$B,'CASHFLOW 2019'!M$1,'CASH BOOK 2019'!$D:$D,'CASHFLOW 2019'!$A7)</f>
        <v>0</v>
      </c>
      <c r="N7" s="71">
        <f>SUMIFS('CASH BOOK 2019'!$K:$K,'CASH BOOK 2019'!$B:$B,'CASHFLOW 2019'!N$1,'CASH BOOK 2019'!$D:$D,'CASHFLOW 2019'!$A7)</f>
        <v>0</v>
      </c>
      <c r="O7" s="71">
        <f>SUMIFS('CASH BOOK 2019'!$K:$K,'CASH BOOK 2019'!$B:$B,'CASHFLOW 2019'!O$1,'CASH BOOK 2019'!$D:$D,'CASHFLOW 2019'!$A7)</f>
        <v>0</v>
      </c>
      <c r="P7" s="69">
        <f t="shared" si="0"/>
        <v>0</v>
      </c>
      <c r="Q7" s="70"/>
    </row>
    <row r="8" spans="1:17" x14ac:dyDescent="0.35">
      <c r="A8" s="9" t="s">
        <v>4</v>
      </c>
      <c r="C8" s="68"/>
      <c r="D8" s="71">
        <f>SUMIFS('CASH BOOK 2019'!$K:$K,'CASH BOOK 2019'!$B:$B,'CASHFLOW 2019'!D$1,'CASH BOOK 2019'!$D:$D,'CASHFLOW 2019'!$A8)</f>
        <v>0</v>
      </c>
      <c r="E8" s="71">
        <f>SUMIFS('CASH BOOK 2019'!$K:$K,'CASH BOOK 2019'!$B:$B,'CASHFLOW 2019'!E$1,'CASH BOOK 2019'!$D:$D,'CASHFLOW 2019'!$A8)</f>
        <v>0</v>
      </c>
      <c r="F8" s="71">
        <f>SUMIFS('CASH BOOK 2019'!$K:$K,'CASH BOOK 2019'!$B:$B,'CASHFLOW 2019'!F$1,'CASH BOOK 2019'!$D:$D,'CASHFLOW 2019'!$A8)</f>
        <v>0</v>
      </c>
      <c r="G8" s="71">
        <f>SUMIFS('CASH BOOK 2019'!$K:$K,'CASH BOOK 2019'!$B:$B,'CASHFLOW 2019'!G$1,'CASH BOOK 2019'!$D:$D,'CASHFLOW 2019'!$A8)</f>
        <v>0</v>
      </c>
      <c r="H8" s="71">
        <f>SUMIFS('CASH BOOK 2019'!$K:$K,'CASH BOOK 2019'!$B:$B,'CASHFLOW 2019'!H$1,'CASH BOOK 2019'!$D:$D,'CASHFLOW 2019'!$A8)</f>
        <v>0</v>
      </c>
      <c r="I8" s="71">
        <f>SUMIFS('CASH BOOK 2019'!$K:$K,'CASH BOOK 2019'!$B:$B,'CASHFLOW 2019'!I$1,'CASH BOOK 2019'!$D:$D,'CASHFLOW 2019'!$A8)</f>
        <v>0</v>
      </c>
      <c r="J8" s="71">
        <f>SUMIFS('CASH BOOK 2019'!$K:$K,'CASH BOOK 2019'!$B:$B,'CASHFLOW 2019'!J$1,'CASH BOOK 2019'!$D:$D,'CASHFLOW 2019'!$A8)</f>
        <v>0</v>
      </c>
      <c r="K8" s="71">
        <f>SUMIFS('CASH BOOK 2019'!$K:$K,'CASH BOOK 2019'!$B:$B,'CASHFLOW 2019'!K$1,'CASH BOOK 2019'!$D:$D,'CASHFLOW 2019'!$A8)</f>
        <v>0</v>
      </c>
      <c r="L8" s="71">
        <f>SUMIFS('CASH BOOK 2019'!$K:$K,'CASH BOOK 2019'!$B:$B,'CASHFLOW 2019'!L$1,'CASH BOOK 2019'!$D:$D,'CASHFLOW 2019'!$A8)</f>
        <v>0</v>
      </c>
      <c r="M8" s="71">
        <f>SUMIFS('CASH BOOK 2019'!$K:$K,'CASH BOOK 2019'!$B:$B,'CASHFLOW 2019'!M$1,'CASH BOOK 2019'!$D:$D,'CASHFLOW 2019'!$A8)</f>
        <v>0</v>
      </c>
      <c r="N8" s="71">
        <f>SUMIFS('CASH BOOK 2019'!$K:$K,'CASH BOOK 2019'!$B:$B,'CASHFLOW 2019'!N$1,'CASH BOOK 2019'!$D:$D,'CASHFLOW 2019'!$A8)</f>
        <v>0</v>
      </c>
      <c r="O8" s="71">
        <f>SUMIFS('CASH BOOK 2019'!$K:$K,'CASH BOOK 2019'!$B:$B,'CASHFLOW 2019'!O$1,'CASH BOOK 2019'!$D:$D,'CASHFLOW 2019'!$A8)</f>
        <v>0</v>
      </c>
      <c r="P8" s="92">
        <f t="shared" si="0"/>
        <v>0</v>
      </c>
      <c r="Q8" s="70"/>
    </row>
    <row r="9" spans="1:17" x14ac:dyDescent="0.35">
      <c r="A9" s="9" t="s">
        <v>38</v>
      </c>
      <c r="C9" s="68"/>
      <c r="D9" s="71">
        <f>SUMIFS('CASH BOOK 2019'!$K:$K,'CASH BOOK 2019'!$B:$B,'CASHFLOW 2019'!D$1,'CASH BOOK 2019'!$D:$D,'CASHFLOW 2019'!$A9)</f>
        <v>0</v>
      </c>
      <c r="E9" s="71">
        <f>SUMIFS('CASH BOOK 2019'!$K:$K,'CASH BOOK 2019'!$B:$B,'CASHFLOW 2019'!E$1,'CASH BOOK 2019'!$D:$D,'CASHFLOW 2019'!$A9)</f>
        <v>0</v>
      </c>
      <c r="F9" s="71">
        <f>SUMIFS('CASH BOOK 2019'!$K:$K,'CASH BOOK 2019'!$B:$B,'CASHFLOW 2019'!F$1,'CASH BOOK 2019'!$D:$D,'CASHFLOW 2019'!$A9)</f>
        <v>0</v>
      </c>
      <c r="G9" s="71">
        <f>SUMIFS('CASH BOOK 2019'!$K:$K,'CASH BOOK 2019'!$B:$B,'CASHFLOW 2019'!G$1,'CASH BOOK 2019'!$D:$D,'CASHFLOW 2019'!$A9)</f>
        <v>0</v>
      </c>
      <c r="H9" s="71">
        <f>SUMIFS('CASH BOOK 2019'!$K:$K,'CASH BOOK 2019'!$B:$B,'CASHFLOW 2019'!H$1,'CASH BOOK 2019'!$D:$D,'CASHFLOW 2019'!$A9)</f>
        <v>0</v>
      </c>
      <c r="I9" s="71">
        <f>SUMIFS('CASH BOOK 2019'!$K:$K,'CASH BOOK 2019'!$B:$B,'CASHFLOW 2019'!I$1,'CASH BOOK 2019'!$D:$D,'CASHFLOW 2019'!$A9)</f>
        <v>0</v>
      </c>
      <c r="J9" s="71">
        <f>SUMIFS('CASH BOOK 2019'!$K:$K,'CASH BOOK 2019'!$B:$B,'CASHFLOW 2019'!J$1,'CASH BOOK 2019'!$D:$D,'CASHFLOW 2019'!$A9)</f>
        <v>0</v>
      </c>
      <c r="K9" s="71">
        <f>SUMIFS('CASH BOOK 2019'!$K:$K,'CASH BOOK 2019'!$B:$B,'CASHFLOW 2019'!K$1,'CASH BOOK 2019'!$D:$D,'CASHFLOW 2019'!$A9)</f>
        <v>0</v>
      </c>
      <c r="L9" s="71">
        <f>SUMIFS('CASH BOOK 2019'!$K:$K,'CASH BOOK 2019'!$B:$B,'CASHFLOW 2019'!L$1,'CASH BOOK 2019'!$D:$D,'CASHFLOW 2019'!$A9)</f>
        <v>0</v>
      </c>
      <c r="M9" s="71">
        <f>SUMIFS('CASH BOOK 2019'!$K:$K,'CASH BOOK 2019'!$B:$B,'CASHFLOW 2019'!M$1,'CASH BOOK 2019'!$D:$D,'CASHFLOW 2019'!$A9)</f>
        <v>0</v>
      </c>
      <c r="N9" s="71">
        <f>SUMIFS('CASH BOOK 2019'!$K:$K,'CASH BOOK 2019'!$B:$B,'CASHFLOW 2019'!N$1,'CASH BOOK 2019'!$D:$D,'CASHFLOW 2019'!$A9)</f>
        <v>0</v>
      </c>
      <c r="O9" s="71">
        <f>SUMIFS('CASH BOOK 2019'!$K:$K,'CASH BOOK 2019'!$B:$B,'CASHFLOW 2019'!O$1,'CASH BOOK 2019'!$D:$D,'CASHFLOW 2019'!$A9)</f>
        <v>0</v>
      </c>
      <c r="P9" s="69">
        <f t="shared" si="0"/>
        <v>0</v>
      </c>
      <c r="Q9" s="70">
        <v>0</v>
      </c>
    </row>
    <row r="10" spans="1:17" x14ac:dyDescent="0.35">
      <c r="A10" s="9" t="s">
        <v>86</v>
      </c>
      <c r="C10" s="68"/>
      <c r="D10" s="71">
        <f>SUMIFS('CASH BOOK 2019'!$K:$K,'CASH BOOK 2019'!$B:$B,'CASHFLOW 2019'!D$1,'CASH BOOK 2019'!$D:$D,'CASHFLOW 2019'!$A10)</f>
        <v>0</v>
      </c>
      <c r="E10" s="71">
        <f>SUMIFS('CASH BOOK 2019'!$K:$K,'CASH BOOK 2019'!$B:$B,'CASHFLOW 2019'!E$1,'CASH BOOK 2019'!$D:$D,'CASHFLOW 2019'!$A10)</f>
        <v>0</v>
      </c>
      <c r="F10" s="71">
        <f>SUMIFS('CASH BOOK 2019'!$K:$K,'CASH BOOK 2019'!$B:$B,'CASHFLOW 2019'!F$1,'CASH BOOK 2019'!$D:$D,'CASHFLOW 2019'!$A10)</f>
        <v>0</v>
      </c>
      <c r="G10" s="71">
        <f>SUMIFS('CASH BOOK 2019'!$K:$K,'CASH BOOK 2019'!$B:$B,'CASHFLOW 2019'!G$1,'CASH BOOK 2019'!$D:$D,'CASHFLOW 2019'!$A10)</f>
        <v>0</v>
      </c>
      <c r="H10" s="71">
        <f>SUMIFS('CASH BOOK 2019'!$K:$K,'CASH BOOK 2019'!$B:$B,'CASHFLOW 2019'!H$1,'CASH BOOK 2019'!$D:$D,'CASHFLOW 2019'!$A10)</f>
        <v>-100</v>
      </c>
      <c r="I10" s="71">
        <f>SUMIFS('CASH BOOK 2019'!$K:$K,'CASH BOOK 2019'!$B:$B,'CASHFLOW 2019'!I$1,'CASH BOOK 2019'!$D:$D,'CASHFLOW 2019'!$A10)</f>
        <v>0</v>
      </c>
      <c r="J10" s="71">
        <f>SUMIFS('CASH BOOK 2019'!$K:$K,'CASH BOOK 2019'!$B:$B,'CASHFLOW 2019'!J$1,'CASH BOOK 2019'!$D:$D,'CASHFLOW 2019'!$A10)</f>
        <v>0</v>
      </c>
      <c r="K10" s="71">
        <f>SUMIFS('CASH BOOK 2019'!$K:$K,'CASH BOOK 2019'!$B:$B,'CASHFLOW 2019'!K$1,'CASH BOOK 2019'!$D:$D,'CASHFLOW 2019'!$A10)</f>
        <v>0</v>
      </c>
      <c r="L10" s="71">
        <f>SUMIFS('CASH BOOK 2019'!$K:$K,'CASH BOOK 2019'!$B:$B,'CASHFLOW 2019'!L$1,'CASH BOOK 2019'!$D:$D,'CASHFLOW 2019'!$A10)</f>
        <v>0</v>
      </c>
      <c r="M10" s="71">
        <f>SUMIFS('CASH BOOK 2019'!$K:$K,'CASH BOOK 2019'!$B:$B,'CASHFLOW 2019'!M$1,'CASH BOOK 2019'!$D:$D,'CASHFLOW 2019'!$A10)</f>
        <v>0</v>
      </c>
      <c r="N10" s="71">
        <f>SUMIFS('CASH BOOK 2019'!$K:$K,'CASH BOOK 2019'!$B:$B,'CASHFLOW 2019'!N$1,'CASH BOOK 2019'!$D:$D,'CASHFLOW 2019'!$A10)</f>
        <v>0</v>
      </c>
      <c r="O10" s="71">
        <f>SUMIFS('CASH BOOK 2019'!$K:$K,'CASH BOOK 2019'!$B:$B,'CASHFLOW 2019'!O$1,'CASH BOOK 2019'!$D:$D,'CASHFLOW 2019'!$A10)</f>
        <v>0</v>
      </c>
      <c r="P10" s="69">
        <f t="shared" si="0"/>
        <v>-100</v>
      </c>
      <c r="Q10" s="70">
        <v>0</v>
      </c>
    </row>
    <row r="11" spans="1:17" x14ac:dyDescent="0.35">
      <c r="A11" s="9" t="s">
        <v>5</v>
      </c>
      <c r="C11" s="68"/>
      <c r="D11" s="71">
        <f>SUMIFS('CASH BOOK 2019'!$K:$K,'CASH BOOK 2019'!$B:$B,'CASHFLOW 2019'!D$1,'CASH BOOK 2019'!$D:$D,'CASHFLOW 2019'!$A11)</f>
        <v>0</v>
      </c>
      <c r="E11" s="71">
        <f>SUMIFS('CASH BOOK 2019'!$K:$K,'CASH BOOK 2019'!$B:$B,'CASHFLOW 2019'!E$1,'CASH BOOK 2019'!$D:$D,'CASHFLOW 2019'!$A11)</f>
        <v>0</v>
      </c>
      <c r="F11" s="71">
        <f>SUMIFS('CASH BOOK 2019'!$K:$K,'CASH BOOK 2019'!$B:$B,'CASHFLOW 2019'!F$1,'CASH BOOK 2019'!$D:$D,'CASHFLOW 2019'!$A11)</f>
        <v>80</v>
      </c>
      <c r="G11" s="71">
        <f>SUMIFS('CASH BOOK 2019'!$K:$K,'CASH BOOK 2019'!$B:$B,'CASHFLOW 2019'!G$1,'CASH BOOK 2019'!$D:$D,'CASHFLOW 2019'!$A11)</f>
        <v>0</v>
      </c>
      <c r="H11" s="71">
        <f>SUMIFS('CASH BOOK 2019'!$K:$K,'CASH BOOK 2019'!$B:$B,'CASHFLOW 2019'!H$1,'CASH BOOK 2019'!$D:$D,'CASHFLOW 2019'!$A11)</f>
        <v>0</v>
      </c>
      <c r="I11" s="71">
        <f>SUMIFS('CASH BOOK 2019'!$K:$K,'CASH BOOK 2019'!$B:$B,'CASHFLOW 2019'!I$1,'CASH BOOK 2019'!$D:$D,'CASHFLOW 2019'!$A11)</f>
        <v>0</v>
      </c>
      <c r="J11" s="71">
        <f>SUMIFS('CASH BOOK 2019'!$K:$K,'CASH BOOK 2019'!$B:$B,'CASHFLOW 2019'!J$1,'CASH BOOK 2019'!$D:$D,'CASHFLOW 2019'!$A11)</f>
        <v>0</v>
      </c>
      <c r="K11" s="71">
        <f>SUMIFS('CASH BOOK 2019'!$K:$K,'CASH BOOK 2019'!$B:$B,'CASHFLOW 2019'!K$1,'CASH BOOK 2019'!$D:$D,'CASHFLOW 2019'!$A11)</f>
        <v>0</v>
      </c>
      <c r="L11" s="71">
        <f>SUMIFS('CASH BOOK 2019'!$K:$K,'CASH BOOK 2019'!$B:$B,'CASHFLOW 2019'!L$1,'CASH BOOK 2019'!$D:$D,'CASHFLOW 2019'!$A11)</f>
        <v>0</v>
      </c>
      <c r="M11" s="71">
        <f>SUMIFS('CASH BOOK 2019'!$K:$K,'CASH BOOK 2019'!$B:$B,'CASHFLOW 2019'!M$1,'CASH BOOK 2019'!$D:$D,'CASHFLOW 2019'!$A11)</f>
        <v>0</v>
      </c>
      <c r="N11" s="71">
        <f>SUMIFS('CASH BOOK 2019'!$K:$K,'CASH BOOK 2019'!$B:$B,'CASHFLOW 2019'!N$1,'CASH BOOK 2019'!$D:$D,'CASHFLOW 2019'!$A11)</f>
        <v>566.28</v>
      </c>
      <c r="O11" s="71">
        <f>SUMIFS('CASH BOOK 2019'!$K:$K,'CASH BOOK 2019'!$B:$B,'CASHFLOW 2019'!O$1,'CASH BOOK 2019'!$D:$D,'CASHFLOW 2019'!$A11)</f>
        <v>0</v>
      </c>
      <c r="P11" s="69">
        <f t="shared" si="0"/>
        <v>646.28</v>
      </c>
      <c r="Q11" s="70">
        <v>500</v>
      </c>
    </row>
    <row r="12" spans="1:17" x14ac:dyDescent="0.35">
      <c r="C12" s="68"/>
      <c r="D12" s="72">
        <f>SUM(D3:D11)</f>
        <v>8932.6299999999992</v>
      </c>
      <c r="E12" s="72">
        <f>SUM(E3:E11)</f>
        <v>1647.4</v>
      </c>
      <c r="F12" s="72">
        <f>SUM(F3:F11)</f>
        <v>779.5</v>
      </c>
      <c r="G12" s="72">
        <f>SUM(G3:G11)</f>
        <v>4124.45</v>
      </c>
      <c r="H12" s="72">
        <f>SUM(H3:H11)</f>
        <v>1005.9000000000001</v>
      </c>
      <c r="I12" s="72">
        <f t="shared" ref="I12:P12" si="1">SUM(I3:I11)</f>
        <v>883.5</v>
      </c>
      <c r="J12" s="72">
        <f t="shared" si="1"/>
        <v>971.37</v>
      </c>
      <c r="K12" s="72">
        <f t="shared" si="1"/>
        <v>527</v>
      </c>
      <c r="L12" s="72">
        <f t="shared" si="1"/>
        <v>5012</v>
      </c>
      <c r="M12" s="72">
        <f t="shared" si="1"/>
        <v>494</v>
      </c>
      <c r="N12" s="72">
        <f t="shared" si="1"/>
        <v>867.29</v>
      </c>
      <c r="O12" s="72">
        <f t="shared" si="1"/>
        <v>864.67000000000007</v>
      </c>
      <c r="P12" s="72">
        <f t="shared" si="1"/>
        <v>26109.71</v>
      </c>
      <c r="Q12" s="73">
        <f>SUM(Q3:Q11)</f>
        <v>24000</v>
      </c>
    </row>
    <row r="13" spans="1:17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1:17" x14ac:dyDescent="0.35">
      <c r="A14" s="9" t="s">
        <v>40</v>
      </c>
      <c r="C14" s="68"/>
      <c r="D14" s="71">
        <f>SUMIFS('CASH BOOK 2019'!$K:$K,'CASH BOOK 2019'!$B:$B,'CASHFLOW 2019'!D$1,'CASH BOOK 2019'!$D:$D,'CASHFLOW 2019'!$A14)</f>
        <v>0</v>
      </c>
      <c r="E14" s="71">
        <f>SUMIFS('CASH BOOK 2019'!$K:$K,'CASH BOOK 2019'!$B:$B,'CASHFLOW 2019'!E$1,'CASH BOOK 2019'!$D:$D,'CASHFLOW 2019'!$A14)</f>
        <v>-1119.3400000000001</v>
      </c>
      <c r="F14" s="71">
        <f>SUMIFS('CASH BOOK 2019'!$K:$K,'CASH BOOK 2019'!$B:$B,'CASHFLOW 2019'!F$1,'CASH BOOK 2019'!$D:$D,'CASHFLOW 2019'!$A14)</f>
        <v>-570.22</v>
      </c>
      <c r="G14" s="71">
        <f>SUMIFS('CASH BOOK 2019'!$K:$K,'CASH BOOK 2019'!$B:$B,'CASHFLOW 2019'!G$1,'CASH BOOK 2019'!$D:$D,'CASHFLOW 2019'!$A14)</f>
        <v>-678</v>
      </c>
      <c r="H14" s="71">
        <f>SUMIFS('CASH BOOK 2019'!$K:$K,'CASH BOOK 2019'!$B:$B,'CASHFLOW 2019'!H$1,'CASH BOOK 2019'!$D:$D,'CASHFLOW 2019'!$A14)</f>
        <v>38.699999999999989</v>
      </c>
      <c r="I14" s="71">
        <f>SUMIFS('CASH BOOK 2019'!$K:$K,'CASH BOOK 2019'!$B:$B,'CASHFLOW 2019'!I$1,'CASH BOOK 2019'!$D:$D,'CASHFLOW 2019'!$A14)</f>
        <v>-72</v>
      </c>
      <c r="J14" s="71">
        <f>SUMIFS('CASH BOOK 2019'!$K:$K,'CASH BOOK 2019'!$B:$B,'CASHFLOW 2019'!J$1,'CASH BOOK 2019'!$D:$D,'CASHFLOW 2019'!$A14)</f>
        <v>-2010</v>
      </c>
      <c r="K14" s="71">
        <f>SUMIFS('CASH BOOK 2019'!$K:$K,'CASH BOOK 2019'!$B:$B,'CASHFLOW 2019'!K$1,'CASH BOOK 2019'!$D:$D,'CASHFLOW 2019'!$A14)</f>
        <v>-626</v>
      </c>
      <c r="L14" s="71">
        <f>SUMIFS('CASH BOOK 2019'!$K:$K,'CASH BOOK 2019'!$B:$B,'CASHFLOW 2019'!L$1,'CASH BOOK 2019'!$D:$D,'CASHFLOW 2019'!$A14)</f>
        <v>-2057.9699999999998</v>
      </c>
      <c r="M14" s="71">
        <f>SUMIFS('CASH BOOK 2019'!$K:$K,'CASH BOOK 2019'!$B:$B,'CASHFLOW 2019'!M$1,'CASH BOOK 2019'!$D:$D,'CASHFLOW 2019'!$A14)</f>
        <v>0</v>
      </c>
      <c r="N14" s="71">
        <f>SUMIFS('CASH BOOK 2019'!$K:$K,'CASH BOOK 2019'!$B:$B,'CASHFLOW 2019'!N$1,'CASH BOOK 2019'!$D:$D,'CASHFLOW 2019'!$A14)</f>
        <v>0</v>
      </c>
      <c r="O14" s="71">
        <f>SUMIFS('CASH BOOK 2019'!$K:$K,'CASH BOOK 2019'!$B:$B,'CASHFLOW 2019'!O$1,'CASH BOOK 2019'!$D:$D,'CASHFLOW 2019'!$A14)</f>
        <v>-3026</v>
      </c>
      <c r="P14" s="69">
        <f t="shared" ref="P14:P28" si="2">SUM(D14:O14)</f>
        <v>-10120.83</v>
      </c>
      <c r="Q14" s="70">
        <v>5000</v>
      </c>
    </row>
    <row r="15" spans="1:17" x14ac:dyDescent="0.35">
      <c r="A15" s="9" t="s">
        <v>85</v>
      </c>
      <c r="C15" s="68"/>
      <c r="D15" s="71">
        <f>SUMIFS('CASH BOOK 2019'!$K:$K,'CASH BOOK 2019'!$B:$B,'CASHFLOW 2019'!D$1,'CASH BOOK 2019'!$D:$D,'CASHFLOW 2019'!$A15)</f>
        <v>0</v>
      </c>
      <c r="E15" s="71">
        <f>SUMIFS('CASH BOOK 2019'!$K:$K,'CASH BOOK 2019'!$B:$B,'CASHFLOW 2019'!E$1,'CASH BOOK 2019'!$D:$D,'CASHFLOW 2019'!$A15)</f>
        <v>0</v>
      </c>
      <c r="F15" s="71">
        <f>SUMIFS('CASH BOOK 2019'!$K:$K,'CASH BOOK 2019'!$B:$B,'CASHFLOW 2019'!F$1,'CASH BOOK 2019'!$D:$D,'CASHFLOW 2019'!$A15)</f>
        <v>0</v>
      </c>
      <c r="G15" s="71">
        <f>SUMIFS('CASH BOOK 2019'!$K:$K,'CASH BOOK 2019'!$B:$B,'CASHFLOW 2019'!G$1,'CASH BOOK 2019'!$D:$D,'CASHFLOW 2019'!$A15)</f>
        <v>0</v>
      </c>
      <c r="H15" s="71">
        <f>SUMIFS('CASH BOOK 2019'!$K:$K,'CASH BOOK 2019'!$B:$B,'CASHFLOW 2019'!H$1,'CASH BOOK 2019'!$D:$D,'CASHFLOW 2019'!$A15)</f>
        <v>0</v>
      </c>
      <c r="I15" s="71">
        <f>SUMIFS('CASH BOOK 2019'!$K:$K,'CASH BOOK 2019'!$B:$B,'CASHFLOW 2019'!I$1,'CASH BOOK 2019'!$D:$D,'CASHFLOW 2019'!$A15)</f>
        <v>0</v>
      </c>
      <c r="J15" s="71">
        <f>SUMIFS('CASH BOOK 2019'!$K:$K,'CASH BOOK 2019'!$B:$B,'CASHFLOW 2019'!J$1,'CASH BOOK 2019'!$D:$D,'CASHFLOW 2019'!$A15)</f>
        <v>0</v>
      </c>
      <c r="K15" s="71">
        <f>SUMIFS('CASH BOOK 2019'!$K:$K,'CASH BOOK 2019'!$B:$B,'CASHFLOW 2019'!K$1,'CASH BOOK 2019'!$D:$D,'CASHFLOW 2019'!$A15)</f>
        <v>0</v>
      </c>
      <c r="L15" s="71">
        <f>SUMIFS('CASH BOOK 2019'!$K:$K,'CASH BOOK 2019'!$B:$B,'CASHFLOW 2019'!L$1,'CASH BOOK 2019'!$D:$D,'CASHFLOW 2019'!$A15)</f>
        <v>0</v>
      </c>
      <c r="M15" s="71">
        <f>SUMIFS('CASH BOOK 2019'!$K:$K,'CASH BOOK 2019'!$B:$B,'CASHFLOW 2019'!M$1,'CASH BOOK 2019'!$D:$D,'CASHFLOW 2019'!$A15)</f>
        <v>0</v>
      </c>
      <c r="N15" s="71">
        <f>SUMIFS('CASH BOOK 2019'!$K:$K,'CASH BOOK 2019'!$B:$B,'CASHFLOW 2019'!N$1,'CASH BOOK 2019'!$D:$D,'CASHFLOW 2019'!$A15)</f>
        <v>0</v>
      </c>
      <c r="O15" s="71">
        <f>SUMIFS('CASH BOOK 2019'!$K:$K,'CASH BOOK 2019'!$B:$B,'CASHFLOW 2019'!O$1,'CASH BOOK 2019'!$D:$D,'CASHFLOW 2019'!$A15)</f>
        <v>0</v>
      </c>
      <c r="P15" s="69">
        <f t="shared" si="2"/>
        <v>0</v>
      </c>
      <c r="Q15" s="70">
        <v>0</v>
      </c>
    </row>
    <row r="16" spans="1:17" x14ac:dyDescent="0.35">
      <c r="A16" s="9" t="s">
        <v>77</v>
      </c>
      <c r="C16" s="68"/>
      <c r="D16" s="71">
        <f>SUMIFS('CASH BOOK 2019'!$K:$K,'CASH BOOK 2019'!$B:$B,'CASHFLOW 2019'!D$1,'CASH BOOK 2019'!$D:$D,'CASHFLOW 2019'!$A16)</f>
        <v>0</v>
      </c>
      <c r="E16" s="71">
        <f>SUMIFS('CASH BOOK 2019'!$K:$K,'CASH BOOK 2019'!$B:$B,'CASHFLOW 2019'!E$1,'CASH BOOK 2019'!$D:$D,'CASHFLOW 2019'!$A16)</f>
        <v>0</v>
      </c>
      <c r="F16" s="71">
        <f>SUMIFS('CASH BOOK 2019'!$K:$K,'CASH BOOK 2019'!$B:$B,'CASHFLOW 2019'!F$1,'CASH BOOK 2019'!$D:$D,'CASHFLOW 2019'!$A16)</f>
        <v>0</v>
      </c>
      <c r="G16" s="71">
        <f>SUMIFS('CASH BOOK 2019'!$K:$K,'CASH BOOK 2019'!$B:$B,'CASHFLOW 2019'!G$1,'CASH BOOK 2019'!$D:$D,'CASHFLOW 2019'!$A16)</f>
        <v>0</v>
      </c>
      <c r="H16" s="71">
        <f>SUMIFS('CASH BOOK 2019'!$K:$K,'CASH BOOK 2019'!$B:$B,'CASHFLOW 2019'!H$1,'CASH BOOK 2019'!$D:$D,'CASHFLOW 2019'!$A16)</f>
        <v>0</v>
      </c>
      <c r="I16" s="71">
        <f>SUMIFS('CASH BOOK 2019'!$K:$K,'CASH BOOK 2019'!$B:$B,'CASHFLOW 2019'!I$1,'CASH BOOK 2019'!$D:$D,'CASHFLOW 2019'!$A16)</f>
        <v>0</v>
      </c>
      <c r="J16" s="71">
        <f>SUMIFS('CASH BOOK 2019'!$K:$K,'CASH BOOK 2019'!$B:$B,'CASHFLOW 2019'!J$1,'CASH BOOK 2019'!$D:$D,'CASHFLOW 2019'!$A16)</f>
        <v>0</v>
      </c>
      <c r="K16" s="71">
        <f>SUMIFS('CASH BOOK 2019'!$K:$K,'CASH BOOK 2019'!$B:$B,'CASHFLOW 2019'!K$1,'CASH BOOK 2019'!$D:$D,'CASHFLOW 2019'!$A16)</f>
        <v>0</v>
      </c>
      <c r="L16" s="71">
        <f>SUMIFS('CASH BOOK 2019'!$K:$K,'CASH BOOK 2019'!$B:$B,'CASHFLOW 2019'!L$1,'CASH BOOK 2019'!$D:$D,'CASHFLOW 2019'!$A16)</f>
        <v>0</v>
      </c>
      <c r="M16" s="71">
        <f>SUMIFS('CASH BOOK 2019'!$K:$K,'CASH BOOK 2019'!$B:$B,'CASHFLOW 2019'!M$1,'CASH BOOK 2019'!$D:$D,'CASHFLOW 2019'!$A16)</f>
        <v>0</v>
      </c>
      <c r="N16" s="71">
        <f>SUMIFS('CASH BOOK 2019'!$K:$K,'CASH BOOK 2019'!$B:$B,'CASHFLOW 2019'!N$1,'CASH BOOK 2019'!$D:$D,'CASHFLOW 2019'!$A16)</f>
        <v>0</v>
      </c>
      <c r="O16" s="71">
        <f>SUMIFS('CASH BOOK 2019'!$K:$K,'CASH BOOK 2019'!$B:$B,'CASHFLOW 2019'!O$1,'CASH BOOK 2019'!$D:$D,'CASHFLOW 2019'!$A16)</f>
        <v>0</v>
      </c>
      <c r="P16" s="69">
        <f t="shared" si="2"/>
        <v>0</v>
      </c>
      <c r="Q16" s="70">
        <v>0</v>
      </c>
    </row>
    <row r="17" spans="1:17" x14ac:dyDescent="0.35">
      <c r="A17" s="9" t="s">
        <v>320</v>
      </c>
      <c r="C17" s="68"/>
      <c r="D17" s="71">
        <f>SUMIFS('CASH BOOK 2019'!$K:$K,'CASH BOOK 2019'!$B:$B,'CASHFLOW 2019'!D$1,'CASH BOOK 2019'!$D:$D,'CASHFLOW 2019'!$A17)</f>
        <v>0</v>
      </c>
      <c r="E17" s="71">
        <f>SUMIFS('CASH BOOK 2019'!$K:$K,'CASH BOOK 2019'!$B:$B,'CASHFLOW 2019'!E$1,'CASH BOOK 2019'!$D:$D,'CASHFLOW 2019'!$A17)</f>
        <v>0</v>
      </c>
      <c r="F17" s="71">
        <f>SUMIFS('CASH BOOK 2019'!$K:$K,'CASH BOOK 2019'!$B:$B,'CASHFLOW 2019'!F$1,'CASH BOOK 2019'!$D:$D,'CASHFLOW 2019'!$A17)</f>
        <v>0</v>
      </c>
      <c r="G17" s="71">
        <f>SUMIFS('CASH BOOK 2019'!$K:$K,'CASH BOOK 2019'!$B:$B,'CASHFLOW 2019'!G$1,'CASH BOOK 2019'!$D:$D,'CASHFLOW 2019'!$A17)</f>
        <v>0</v>
      </c>
      <c r="H17" s="71">
        <f>SUMIFS('CASH BOOK 2019'!$K:$K,'CASH BOOK 2019'!$B:$B,'CASHFLOW 2019'!H$1,'CASH BOOK 2019'!$D:$D,'CASHFLOW 2019'!$A17)</f>
        <v>0</v>
      </c>
      <c r="I17" s="71">
        <f>SUMIFS('CASH BOOK 2019'!$K:$K,'CASH BOOK 2019'!$B:$B,'CASHFLOW 2019'!I$1,'CASH BOOK 2019'!$D:$D,'CASHFLOW 2019'!$A17)</f>
        <v>0</v>
      </c>
      <c r="J17" s="71">
        <f>SUMIFS('CASH BOOK 2019'!$K:$K,'CASH BOOK 2019'!$B:$B,'CASHFLOW 2019'!J$1,'CASH BOOK 2019'!$D:$D,'CASHFLOW 2019'!$A17)</f>
        <v>0</v>
      </c>
      <c r="K17" s="71">
        <f>SUMIFS('CASH BOOK 2019'!$K:$K,'CASH BOOK 2019'!$B:$B,'CASHFLOW 2019'!K$1,'CASH BOOK 2019'!$D:$D,'CASHFLOW 2019'!$A17)</f>
        <v>0</v>
      </c>
      <c r="L17" s="71">
        <f>SUMIFS('CASH BOOK 2019'!$K:$K,'CASH BOOK 2019'!$B:$B,'CASHFLOW 2019'!L$1,'CASH BOOK 2019'!$D:$D,'CASHFLOW 2019'!$A17)</f>
        <v>0</v>
      </c>
      <c r="M17" s="71">
        <f>SUMIFS('CASH BOOK 2019'!$K:$K,'CASH BOOK 2019'!$B:$B,'CASHFLOW 2019'!M$1,'CASH BOOK 2019'!$D:$D,'CASHFLOW 2019'!$A17)</f>
        <v>0</v>
      </c>
      <c r="N17" s="71">
        <f>SUMIFS('CASH BOOK 2019'!$K:$K,'CASH BOOK 2019'!$B:$B,'CASHFLOW 2019'!N$1,'CASH BOOK 2019'!$D:$D,'CASHFLOW 2019'!$A17)</f>
        <v>0</v>
      </c>
      <c r="O17" s="71">
        <f>SUMIFS('CASH BOOK 2019'!$K:$K,'CASH BOOK 2019'!$B:$B,'CASHFLOW 2019'!O$1,'CASH BOOK 2019'!$D:$D,'CASHFLOW 2019'!$A17)</f>
        <v>0</v>
      </c>
      <c r="P17" s="69">
        <f t="shared" si="2"/>
        <v>0</v>
      </c>
      <c r="Q17" s="70"/>
    </row>
    <row r="18" spans="1:17" x14ac:dyDescent="0.35">
      <c r="A18" s="9" t="s">
        <v>8</v>
      </c>
      <c r="C18" s="68"/>
      <c r="D18" s="71">
        <f>SUMIFS('CASH BOOK 2019'!$K:$K,'CASH BOOK 2019'!$B:$B,'CASHFLOW 2019'!D$1,'CASH BOOK 2019'!$D:$D,'CASHFLOW 2019'!$A18)</f>
        <v>-999.64</v>
      </c>
      <c r="E18" s="71">
        <f>SUMIFS('CASH BOOK 2019'!$K:$K,'CASH BOOK 2019'!$B:$B,'CASHFLOW 2019'!E$1,'CASH BOOK 2019'!$D:$D,'CASHFLOW 2019'!$A18)</f>
        <v>0</v>
      </c>
      <c r="F18" s="71">
        <f>SUMIFS('CASH BOOK 2019'!$K:$K,'CASH BOOK 2019'!$B:$B,'CASHFLOW 2019'!F$1,'CASH BOOK 2019'!$D:$D,'CASHFLOW 2019'!$A18)</f>
        <v>-387.26</v>
      </c>
      <c r="G18" s="71">
        <f>SUMIFS('CASH BOOK 2019'!$K:$K,'CASH BOOK 2019'!$B:$B,'CASHFLOW 2019'!G$1,'CASH BOOK 2019'!$D:$D,'CASHFLOW 2019'!$A18)</f>
        <v>-767.62</v>
      </c>
      <c r="H18" s="71">
        <f>SUMIFS('CASH BOOK 2019'!$K:$K,'CASH BOOK 2019'!$B:$B,'CASHFLOW 2019'!H$1,'CASH BOOK 2019'!$D:$D,'CASHFLOW 2019'!$A18)</f>
        <v>0</v>
      </c>
      <c r="I18" s="71">
        <f>SUMIFS('CASH BOOK 2019'!$K:$K,'CASH BOOK 2019'!$B:$B,'CASHFLOW 2019'!I$1,'CASH BOOK 2019'!$D:$D,'CASHFLOW 2019'!$A18)</f>
        <v>0</v>
      </c>
      <c r="J18" s="71">
        <f>SUMIFS('CASH BOOK 2019'!$K:$K,'CASH BOOK 2019'!$B:$B,'CASHFLOW 2019'!J$1,'CASH BOOK 2019'!$D:$D,'CASHFLOW 2019'!$A18)</f>
        <v>-532.73</v>
      </c>
      <c r="K18" s="71">
        <f>SUMIFS('CASH BOOK 2019'!$K:$K,'CASH BOOK 2019'!$B:$B,'CASHFLOW 2019'!K$1,'CASH BOOK 2019'!$D:$D,'CASHFLOW 2019'!$A18)</f>
        <v>0</v>
      </c>
      <c r="L18" s="71">
        <f>SUMIFS('CASH BOOK 2019'!$K:$K,'CASH BOOK 2019'!$B:$B,'CASHFLOW 2019'!L$1,'CASH BOOK 2019'!$D:$D,'CASHFLOW 2019'!$A18)</f>
        <v>0</v>
      </c>
      <c r="M18" s="71">
        <f>SUMIFS('CASH BOOK 2019'!$K:$K,'CASH BOOK 2019'!$B:$B,'CASHFLOW 2019'!M$1,'CASH BOOK 2019'!$D:$D,'CASHFLOW 2019'!$A18)</f>
        <v>-148.59</v>
      </c>
      <c r="N18" s="71">
        <f>SUMIFS('CASH BOOK 2019'!$K:$K,'CASH BOOK 2019'!$B:$B,'CASHFLOW 2019'!N$1,'CASH BOOK 2019'!$D:$D,'CASHFLOW 2019'!$A18)</f>
        <v>0</v>
      </c>
      <c r="O18" s="71">
        <f>SUMIFS('CASH BOOK 2019'!$K:$K,'CASH BOOK 2019'!$B:$B,'CASHFLOW 2019'!O$1,'CASH BOOK 2019'!$D:$D,'CASHFLOW 2019'!$A18)</f>
        <v>0</v>
      </c>
      <c r="P18" s="69">
        <f t="shared" si="2"/>
        <v>-2835.84</v>
      </c>
      <c r="Q18" s="70">
        <v>2750</v>
      </c>
    </row>
    <row r="19" spans="1:17" x14ac:dyDescent="0.35">
      <c r="A19" s="9" t="s">
        <v>9</v>
      </c>
      <c r="C19" s="68"/>
      <c r="D19" s="71">
        <f>SUMIFS('CASH BOOK 2019'!$K:$K,'CASH BOOK 2019'!$B:$B,'CASHFLOW 2019'!D$1,'CASH BOOK 2019'!$D:$D,'CASHFLOW 2019'!$A19)</f>
        <v>-113.72</v>
      </c>
      <c r="E19" s="71">
        <f>SUMIFS('CASH BOOK 2019'!$K:$K,'CASH BOOK 2019'!$B:$B,'CASHFLOW 2019'!E$1,'CASH BOOK 2019'!$D:$D,'CASHFLOW 2019'!$A19)</f>
        <v>-291.2</v>
      </c>
      <c r="F19" s="71">
        <f>SUMIFS('CASH BOOK 2019'!$K:$K,'CASH BOOK 2019'!$B:$B,'CASHFLOW 2019'!F$1,'CASH BOOK 2019'!$D:$D,'CASHFLOW 2019'!$A19)</f>
        <v>-121.99</v>
      </c>
      <c r="G19" s="71">
        <f>SUMIFS('CASH BOOK 2019'!$K:$K,'CASH BOOK 2019'!$B:$B,'CASHFLOW 2019'!G$1,'CASH BOOK 2019'!$D:$D,'CASHFLOW 2019'!$A19)</f>
        <v>-127.68</v>
      </c>
      <c r="H19" s="71">
        <f>SUMIFS('CASH BOOK 2019'!$K:$K,'CASH BOOK 2019'!$B:$B,'CASHFLOW 2019'!H$1,'CASH BOOK 2019'!$D:$D,'CASHFLOW 2019'!$A19)</f>
        <v>-97.61</v>
      </c>
      <c r="I19" s="71">
        <f>SUMIFS('CASH BOOK 2019'!$K:$K,'CASH BOOK 2019'!$B:$B,'CASHFLOW 2019'!I$1,'CASH BOOK 2019'!$D:$D,'CASHFLOW 2019'!$A19)</f>
        <v>-128.13999999999999</v>
      </c>
      <c r="J19" s="71">
        <f>SUMIFS('CASH BOOK 2019'!$K:$K,'CASH BOOK 2019'!$B:$B,'CASHFLOW 2019'!J$1,'CASH BOOK 2019'!$D:$D,'CASHFLOW 2019'!$A19)</f>
        <v>-99.27</v>
      </c>
      <c r="K19" s="71">
        <f>SUMIFS('CASH BOOK 2019'!$K:$K,'CASH BOOK 2019'!$B:$B,'CASHFLOW 2019'!K$1,'CASH BOOK 2019'!$D:$D,'CASHFLOW 2019'!$A19)</f>
        <v>-107.16</v>
      </c>
      <c r="L19" s="71">
        <f>SUMIFS('CASH BOOK 2019'!$K:$K,'CASH BOOK 2019'!$B:$B,'CASHFLOW 2019'!L$1,'CASH BOOK 2019'!$D:$D,'CASHFLOW 2019'!$A19)</f>
        <v>-99.67</v>
      </c>
      <c r="M19" s="71">
        <f>SUMIFS('CASH BOOK 2019'!$K:$K,'CASH BOOK 2019'!$B:$B,'CASHFLOW 2019'!M$1,'CASH BOOK 2019'!$D:$D,'CASHFLOW 2019'!$A19)</f>
        <v>-104.03</v>
      </c>
      <c r="N19" s="71">
        <f>SUMIFS('CASH BOOK 2019'!$K:$K,'CASH BOOK 2019'!$B:$B,'CASHFLOW 2019'!N$1,'CASH BOOK 2019'!$D:$D,'CASHFLOW 2019'!$A19)</f>
        <v>-116.95</v>
      </c>
      <c r="O19" s="71">
        <f>SUMIFS('CASH BOOK 2019'!$K:$K,'CASH BOOK 2019'!$B:$B,'CASHFLOW 2019'!O$1,'CASH BOOK 2019'!$D:$D,'CASHFLOW 2019'!$A19)</f>
        <v>-263.27</v>
      </c>
      <c r="P19" s="69">
        <f t="shared" si="2"/>
        <v>-1670.69</v>
      </c>
      <c r="Q19" s="70">
        <v>1300</v>
      </c>
    </row>
    <row r="20" spans="1:17" x14ac:dyDescent="0.35">
      <c r="A20" s="9" t="s">
        <v>301</v>
      </c>
      <c r="C20" s="68"/>
      <c r="D20" s="71">
        <f>SUMIFS('CASH BOOK 2019'!$K:$K,'CASH BOOK 2019'!$B:$B,'CASHFLOW 2019'!D$1,'CASH BOOK 2019'!$D:$D,'CASHFLOW 2019'!$A20)</f>
        <v>-46.2</v>
      </c>
      <c r="E20" s="71">
        <f>SUMIFS('CASH BOOK 2019'!$K:$K,'CASH BOOK 2019'!$B:$B,'CASHFLOW 2019'!E$1,'CASH BOOK 2019'!$D:$D,'CASHFLOW 2019'!$A20)</f>
        <v>-35.880000000000003</v>
      </c>
      <c r="F20" s="71">
        <f>SUMIFS('CASH BOOK 2019'!$K:$K,'CASH BOOK 2019'!$B:$B,'CASHFLOW 2019'!F$1,'CASH BOOK 2019'!$D:$D,'CASHFLOW 2019'!$A20)</f>
        <v>-35.880000000000003</v>
      </c>
      <c r="G20" s="71">
        <f>SUMIFS('CASH BOOK 2019'!$K:$K,'CASH BOOK 2019'!$B:$B,'CASHFLOW 2019'!G$1,'CASH BOOK 2019'!$D:$D,'CASHFLOW 2019'!$A20)</f>
        <v>-35.880000000000003</v>
      </c>
      <c r="H20" s="71">
        <f>SUMIFS('CASH BOOK 2019'!$K:$K,'CASH BOOK 2019'!$B:$B,'CASHFLOW 2019'!H$1,'CASH BOOK 2019'!$D:$D,'CASHFLOW 2019'!$A20)</f>
        <v>-35.880000000000003</v>
      </c>
      <c r="I20" s="71">
        <f>SUMIFS('CASH BOOK 2019'!$K:$K,'CASH BOOK 2019'!$B:$B,'CASHFLOW 2019'!I$1,'CASH BOOK 2019'!$D:$D,'CASHFLOW 2019'!$A20)</f>
        <v>-35.880000000000003</v>
      </c>
      <c r="J20" s="71">
        <f>SUMIFS('CASH BOOK 2019'!$K:$K,'CASH BOOK 2019'!$B:$B,'CASHFLOW 2019'!J$1,'CASH BOOK 2019'!$D:$D,'CASHFLOW 2019'!$A20)</f>
        <v>-37.68</v>
      </c>
      <c r="K20" s="71">
        <f>SUMIFS('CASH BOOK 2019'!$K:$K,'CASH BOOK 2019'!$B:$B,'CASHFLOW 2019'!K$1,'CASH BOOK 2019'!$D:$D,'CASHFLOW 2019'!$A20)</f>
        <v>-37.68</v>
      </c>
      <c r="L20" s="71">
        <f>SUMIFS('CASH BOOK 2019'!$K:$K,'CASH BOOK 2019'!$B:$B,'CASHFLOW 2019'!L$1,'CASH BOOK 2019'!$D:$D,'CASHFLOW 2019'!$A20)</f>
        <v>-37.68</v>
      </c>
      <c r="M20" s="71">
        <f>SUMIFS('CASH BOOK 2019'!$K:$K,'CASH BOOK 2019'!$B:$B,'CASHFLOW 2019'!M$1,'CASH BOOK 2019'!$D:$D,'CASHFLOW 2019'!$A20)</f>
        <v>-37.68</v>
      </c>
      <c r="N20" s="71">
        <f>SUMIFS('CASH BOOK 2019'!$K:$K,'CASH BOOK 2019'!$B:$B,'CASHFLOW 2019'!N$1,'CASH BOOK 2019'!$D:$D,'CASHFLOW 2019'!$A20)</f>
        <v>-37.68</v>
      </c>
      <c r="O20" s="71">
        <f>SUMIFS('CASH BOOK 2019'!$K:$K,'CASH BOOK 2019'!$B:$B,'CASHFLOW 2019'!O$1,'CASH BOOK 2019'!$D:$D,'CASHFLOW 2019'!$A20)</f>
        <v>-37.68</v>
      </c>
      <c r="P20" s="69">
        <f t="shared" si="2"/>
        <v>-451.68</v>
      </c>
      <c r="Q20" s="70">
        <v>450</v>
      </c>
    </row>
    <row r="21" spans="1:17" x14ac:dyDescent="0.35">
      <c r="A21" s="9" t="s">
        <v>10</v>
      </c>
      <c r="C21" s="68"/>
      <c r="D21" s="71">
        <f>SUMIFS('CASH BOOK 2019'!$K:$K,'CASH BOOK 2019'!$B:$B,'CASHFLOW 2019'!D$1,'CASH BOOK 2019'!$D:$D,'CASHFLOW 2019'!$A21)</f>
        <v>0</v>
      </c>
      <c r="E21" s="71">
        <f>SUMIFS('CASH BOOK 2019'!$K:$K,'CASH BOOK 2019'!$B:$B,'CASHFLOW 2019'!E$1,'CASH BOOK 2019'!$D:$D,'CASHFLOW 2019'!$A21)</f>
        <v>0</v>
      </c>
      <c r="F21" s="71">
        <f>SUMIFS('CASH BOOK 2019'!$K:$K,'CASH BOOK 2019'!$B:$B,'CASHFLOW 2019'!F$1,'CASH BOOK 2019'!$D:$D,'CASHFLOW 2019'!$A21)</f>
        <v>0</v>
      </c>
      <c r="G21" s="71">
        <f>SUMIFS('CASH BOOK 2019'!$K:$K,'CASH BOOK 2019'!$B:$B,'CASHFLOW 2019'!G$1,'CASH BOOK 2019'!$D:$D,'CASHFLOW 2019'!$A21)</f>
        <v>0</v>
      </c>
      <c r="H21" s="71">
        <f>SUMIFS('CASH BOOK 2019'!$K:$K,'CASH BOOK 2019'!$B:$B,'CASHFLOW 2019'!H$1,'CASH BOOK 2019'!$D:$D,'CASHFLOW 2019'!$A21)</f>
        <v>0</v>
      </c>
      <c r="I21" s="71">
        <f>SUMIFS('CASH BOOK 2019'!$K:$K,'CASH BOOK 2019'!$B:$B,'CASHFLOW 2019'!I$1,'CASH BOOK 2019'!$D:$D,'CASHFLOW 2019'!$A21)</f>
        <v>0</v>
      </c>
      <c r="J21" s="71">
        <f>SUMIFS('CASH BOOK 2019'!$K:$K,'CASH BOOK 2019'!$B:$B,'CASHFLOW 2019'!J$1,'CASH BOOK 2019'!$D:$D,'CASHFLOW 2019'!$A21)</f>
        <v>0</v>
      </c>
      <c r="K21" s="71">
        <f>SUMIFS('CASH BOOK 2019'!$K:$K,'CASH BOOK 2019'!$B:$B,'CASHFLOW 2019'!K$1,'CASH BOOK 2019'!$D:$D,'CASHFLOW 2019'!$A21)</f>
        <v>0</v>
      </c>
      <c r="L21" s="71">
        <f>SUMIFS('CASH BOOK 2019'!$K:$K,'CASH BOOK 2019'!$B:$B,'CASHFLOW 2019'!L$1,'CASH BOOK 2019'!$D:$D,'CASHFLOW 2019'!$A21)</f>
        <v>0</v>
      </c>
      <c r="M21" s="71">
        <f>SUMIFS('CASH BOOK 2019'!$K:$K,'CASH BOOK 2019'!$B:$B,'CASHFLOW 2019'!M$1,'CASH BOOK 2019'!$D:$D,'CASHFLOW 2019'!$A21)</f>
        <v>0</v>
      </c>
      <c r="N21" s="71">
        <f>SUMIFS('CASH BOOK 2019'!$K:$K,'CASH BOOK 2019'!$B:$B,'CASHFLOW 2019'!N$1,'CASH BOOK 2019'!$D:$D,'CASHFLOW 2019'!$A21)</f>
        <v>0</v>
      </c>
      <c r="O21" s="71">
        <f>SUMIFS('CASH BOOK 2019'!$K:$K,'CASH BOOK 2019'!$B:$B,'CASHFLOW 2019'!O$1,'CASH BOOK 2019'!$D:$D,'CASHFLOW 2019'!$A21)</f>
        <v>-1432.49</v>
      </c>
      <c r="P21" s="69">
        <f t="shared" si="2"/>
        <v>-1432.49</v>
      </c>
      <c r="Q21" s="70">
        <v>1450</v>
      </c>
    </row>
    <row r="22" spans="1:17" x14ac:dyDescent="0.35">
      <c r="A22" s="9" t="s">
        <v>11</v>
      </c>
      <c r="C22" s="68"/>
      <c r="D22" s="71">
        <f>SUMIFS('CASH BOOK 2019'!$K:$K,'CASH BOOK 2019'!$B:$B,'CASHFLOW 2019'!D$1,'CASH BOOK 2019'!$D:$D,'CASHFLOW 2019'!$A22)</f>
        <v>-110.2</v>
      </c>
      <c r="E22" s="71">
        <f>SUMIFS('CASH BOOK 2019'!$K:$K,'CASH BOOK 2019'!$B:$B,'CASHFLOW 2019'!E$1,'CASH BOOK 2019'!$D:$D,'CASHFLOW 2019'!$A22)</f>
        <v>-122.98</v>
      </c>
      <c r="F22" s="71">
        <f>SUMIFS('CASH BOOK 2019'!$K:$K,'CASH BOOK 2019'!$B:$B,'CASHFLOW 2019'!F$1,'CASH BOOK 2019'!$D:$D,'CASHFLOW 2019'!$A22)</f>
        <v>-122.98</v>
      </c>
      <c r="G22" s="71">
        <f>SUMIFS('CASH BOOK 2019'!$K:$K,'CASH BOOK 2019'!$B:$B,'CASHFLOW 2019'!G$1,'CASH BOOK 2019'!$D:$D,'CASHFLOW 2019'!$A22)</f>
        <v>-122.98</v>
      </c>
      <c r="H22" s="71">
        <f>SUMIFS('CASH BOOK 2019'!$K:$K,'CASH BOOK 2019'!$B:$B,'CASHFLOW 2019'!H$1,'CASH BOOK 2019'!$D:$D,'CASHFLOW 2019'!$A22)</f>
        <v>-122.98</v>
      </c>
      <c r="I22" s="71">
        <f>SUMIFS('CASH BOOK 2019'!$K:$K,'CASH BOOK 2019'!$B:$B,'CASHFLOW 2019'!I$1,'CASH BOOK 2019'!$D:$D,'CASHFLOW 2019'!$A22)</f>
        <v>-122.98</v>
      </c>
      <c r="J22" s="71">
        <f>SUMIFS('CASH BOOK 2019'!$K:$K,'CASH BOOK 2019'!$B:$B,'CASHFLOW 2019'!J$1,'CASH BOOK 2019'!$D:$D,'CASHFLOW 2019'!$A22)</f>
        <v>0</v>
      </c>
      <c r="K22" s="71">
        <f>SUMIFS('CASH BOOK 2019'!$K:$K,'CASH BOOK 2019'!$B:$B,'CASHFLOW 2019'!K$1,'CASH BOOK 2019'!$D:$D,'CASHFLOW 2019'!$A22)</f>
        <v>-200</v>
      </c>
      <c r="L22" s="71">
        <f>SUMIFS('CASH BOOK 2019'!$K:$K,'CASH BOOK 2019'!$B:$B,'CASHFLOW 2019'!L$1,'CASH BOOK 2019'!$D:$D,'CASHFLOW 2019'!$A22)</f>
        <v>-200</v>
      </c>
      <c r="M22" s="71">
        <f>SUMIFS('CASH BOOK 2019'!$K:$K,'CASH BOOK 2019'!$B:$B,'CASHFLOW 2019'!M$1,'CASH BOOK 2019'!$D:$D,'CASHFLOW 2019'!$A22)</f>
        <v>-200</v>
      </c>
      <c r="N22" s="71">
        <f>SUMIFS('CASH BOOK 2019'!$K:$K,'CASH BOOK 2019'!$B:$B,'CASHFLOW 2019'!N$1,'CASH BOOK 2019'!$D:$D,'CASHFLOW 2019'!$A22)</f>
        <v>-200</v>
      </c>
      <c r="O22" s="71">
        <f>SUMIFS('CASH BOOK 2019'!$K:$K,'CASH BOOK 2019'!$B:$B,'CASHFLOW 2019'!O$1,'CASH BOOK 2019'!$D:$D,'CASHFLOW 2019'!$A22)</f>
        <v>-200</v>
      </c>
      <c r="P22" s="69">
        <f t="shared" si="2"/>
        <v>-1725.1</v>
      </c>
      <c r="Q22" s="70">
        <v>1200</v>
      </c>
    </row>
    <row r="23" spans="1:17" x14ac:dyDescent="0.35">
      <c r="A23" s="9" t="s">
        <v>12</v>
      </c>
      <c r="C23" s="68"/>
      <c r="D23" s="71">
        <f>SUMIFS('CASH BOOK 2019'!$K:$K,'CASH BOOK 2019'!$B:$B,'CASHFLOW 2019'!D$1,'CASH BOOK 2019'!$D:$D,'CASHFLOW 2019'!$A23)</f>
        <v>-437.6</v>
      </c>
      <c r="E23" s="71">
        <f>SUMIFS('CASH BOOK 2019'!$K:$K,'CASH BOOK 2019'!$B:$B,'CASHFLOW 2019'!E$1,'CASH BOOK 2019'!$D:$D,'CASHFLOW 2019'!$A23)</f>
        <v>-380.02</v>
      </c>
      <c r="F23" s="71">
        <f>SUMIFS('CASH BOOK 2019'!$K:$K,'CASH BOOK 2019'!$B:$B,'CASHFLOW 2019'!F$1,'CASH BOOK 2019'!$D:$D,'CASHFLOW 2019'!$A23)</f>
        <v>-733.36</v>
      </c>
      <c r="G23" s="71">
        <f>SUMIFS('CASH BOOK 2019'!$K:$K,'CASH BOOK 2019'!$B:$B,'CASHFLOW 2019'!G$1,'CASH BOOK 2019'!$D:$D,'CASHFLOW 2019'!$A23)</f>
        <v>-603.47</v>
      </c>
      <c r="H23" s="71">
        <f>SUMIFS('CASH BOOK 2019'!$K:$K,'CASH BOOK 2019'!$B:$B,'CASHFLOW 2019'!H$1,'CASH BOOK 2019'!$D:$D,'CASHFLOW 2019'!$A23)</f>
        <v>-583.38</v>
      </c>
      <c r="I23" s="71">
        <f>SUMIFS('CASH BOOK 2019'!$K:$K,'CASH BOOK 2019'!$B:$B,'CASHFLOW 2019'!I$1,'CASH BOOK 2019'!$D:$D,'CASHFLOW 2019'!$A23)</f>
        <v>-504.58</v>
      </c>
      <c r="J23" s="71">
        <f>SUMIFS('CASH BOOK 2019'!$K:$K,'CASH BOOK 2019'!$B:$B,'CASHFLOW 2019'!J$1,'CASH BOOK 2019'!$D:$D,'CASHFLOW 2019'!$A23)</f>
        <v>-663.29</v>
      </c>
      <c r="K23" s="71">
        <f>SUMIFS('CASH BOOK 2019'!$K:$K,'CASH BOOK 2019'!$B:$B,'CASHFLOW 2019'!K$1,'CASH BOOK 2019'!$D:$D,'CASHFLOW 2019'!$A23)</f>
        <v>-609.88</v>
      </c>
      <c r="L23" s="71">
        <f>SUMIFS('CASH BOOK 2019'!$K:$K,'CASH BOOK 2019'!$B:$B,'CASHFLOW 2019'!L$1,'CASH BOOK 2019'!$D:$D,'CASHFLOW 2019'!$A23)</f>
        <v>-423.58</v>
      </c>
      <c r="M23" s="71">
        <f>SUMIFS('CASH BOOK 2019'!$K:$K,'CASH BOOK 2019'!$B:$B,'CASHFLOW 2019'!M$1,'CASH BOOK 2019'!$D:$D,'CASHFLOW 2019'!$A23)</f>
        <v>-391.18</v>
      </c>
      <c r="N23" s="71">
        <f>SUMIFS('CASH BOOK 2019'!$K:$K,'CASH BOOK 2019'!$B:$B,'CASHFLOW 2019'!N$1,'CASH BOOK 2019'!$D:$D,'CASHFLOW 2019'!$A23)</f>
        <v>-611.13</v>
      </c>
      <c r="O23" s="71">
        <f>SUMIFS('CASH BOOK 2019'!$K:$K,'CASH BOOK 2019'!$B:$B,'CASHFLOW 2019'!O$1,'CASH BOOK 2019'!$D:$D,'CASHFLOW 2019'!$A23)</f>
        <v>-388.48</v>
      </c>
      <c r="P23" s="69">
        <f t="shared" si="2"/>
        <v>-6329.9500000000007</v>
      </c>
      <c r="Q23" s="70">
        <v>4800</v>
      </c>
    </row>
    <row r="24" spans="1:17" x14ac:dyDescent="0.35">
      <c r="A24" s="9" t="s">
        <v>13</v>
      </c>
      <c r="C24" s="68"/>
      <c r="D24" s="71">
        <f>SUMIFS('CASH BOOK 2019'!$K:$K,'CASH BOOK 2019'!$B:$B,'CASHFLOW 2019'!D$1,'CASH BOOK 2019'!$D:$D,'CASHFLOW 2019'!$A24)</f>
        <v>0</v>
      </c>
      <c r="E24" s="71">
        <f>SUMIFS('CASH BOOK 2019'!$K:$K,'CASH BOOK 2019'!$B:$B,'CASHFLOW 2019'!E$1,'CASH BOOK 2019'!$D:$D,'CASHFLOW 2019'!$A24)</f>
        <v>0</v>
      </c>
      <c r="F24" s="71">
        <f>SUMIFS('CASH BOOK 2019'!$K:$K,'CASH BOOK 2019'!$B:$B,'CASHFLOW 2019'!F$1,'CASH BOOK 2019'!$D:$D,'CASHFLOW 2019'!$A24)</f>
        <v>0</v>
      </c>
      <c r="G24" s="71">
        <f>SUMIFS('CASH BOOK 2019'!$K:$K,'CASH BOOK 2019'!$B:$B,'CASHFLOW 2019'!G$1,'CASH BOOK 2019'!$D:$D,'CASHFLOW 2019'!$A24)</f>
        <v>0</v>
      </c>
      <c r="H24" s="71">
        <f>SUMIFS('CASH BOOK 2019'!$K:$K,'CASH BOOK 2019'!$B:$B,'CASHFLOW 2019'!H$1,'CASH BOOK 2019'!$D:$D,'CASHFLOW 2019'!$A24)</f>
        <v>-35</v>
      </c>
      <c r="I24" s="71">
        <f>SUMIFS('CASH BOOK 2019'!$K:$K,'CASH BOOK 2019'!$B:$B,'CASHFLOW 2019'!I$1,'CASH BOOK 2019'!$D:$D,'CASHFLOW 2019'!$A24)</f>
        <v>-601.52</v>
      </c>
      <c r="J24" s="71">
        <f>SUMIFS('CASH BOOK 2019'!$K:$K,'CASH BOOK 2019'!$B:$B,'CASHFLOW 2019'!J$1,'CASH BOOK 2019'!$D:$D,'CASHFLOW 2019'!$A24)</f>
        <v>0</v>
      </c>
      <c r="K24" s="71">
        <f>SUMIFS('CASH BOOK 2019'!$K:$K,'CASH BOOK 2019'!$B:$B,'CASHFLOW 2019'!K$1,'CASH BOOK 2019'!$D:$D,'CASHFLOW 2019'!$A24)</f>
        <v>0</v>
      </c>
      <c r="L24" s="71">
        <f>SUMIFS('CASH BOOK 2019'!$K:$K,'CASH BOOK 2019'!$B:$B,'CASHFLOW 2019'!L$1,'CASH BOOK 2019'!$D:$D,'CASHFLOW 2019'!$A24)</f>
        <v>0</v>
      </c>
      <c r="M24" s="71">
        <f>SUMIFS('CASH BOOK 2019'!$K:$K,'CASH BOOK 2019'!$B:$B,'CASHFLOW 2019'!M$1,'CASH BOOK 2019'!$D:$D,'CASHFLOW 2019'!$A24)</f>
        <v>0</v>
      </c>
      <c r="N24" s="71">
        <f>SUMIFS('CASH BOOK 2019'!$K:$K,'CASH BOOK 2019'!$B:$B,'CASHFLOW 2019'!N$1,'CASH BOOK 2019'!$D:$D,'CASHFLOW 2019'!$A24)</f>
        <v>0</v>
      </c>
      <c r="O24" s="71">
        <f>SUMIFS('CASH BOOK 2019'!$K:$K,'CASH BOOK 2019'!$B:$B,'CASHFLOW 2019'!O$1,'CASH BOOK 2019'!$D:$D,'CASHFLOW 2019'!$A24)</f>
        <v>0</v>
      </c>
      <c r="P24" s="69">
        <f t="shared" si="2"/>
        <v>-636.52</v>
      </c>
      <c r="Q24" s="70">
        <v>750</v>
      </c>
    </row>
    <row r="25" spans="1:17" x14ac:dyDescent="0.35">
      <c r="A25" s="9" t="s">
        <v>468</v>
      </c>
      <c r="C25" s="68"/>
      <c r="D25" s="71">
        <f>SUMIFS('CASH BOOK 2019'!$K:$K,'CASH BOOK 2019'!$B:$B,'CASHFLOW 2019'!D$1,'CASH BOOK 2019'!$D:$D,'CASHFLOW 2019'!$A25)</f>
        <v>0</v>
      </c>
      <c r="E25" s="71">
        <f>SUMIFS('CASH BOOK 2019'!$K:$K,'CASH BOOK 2019'!$B:$B,'CASHFLOW 2019'!E$1,'CASH BOOK 2019'!$D:$D,'CASHFLOW 2019'!$A25)</f>
        <v>0</v>
      </c>
      <c r="F25" s="71">
        <f>SUMIFS('CASH BOOK 2019'!$K:$K,'CASH BOOK 2019'!$B:$B,'CASHFLOW 2019'!F$1,'CASH BOOK 2019'!$D:$D,'CASHFLOW 2019'!$A25)</f>
        <v>0</v>
      </c>
      <c r="G25" s="71">
        <f>SUMIFS('CASH BOOK 2019'!$K:$K,'CASH BOOK 2019'!$B:$B,'CASHFLOW 2019'!G$1,'CASH BOOK 2019'!$D:$D,'CASHFLOW 2019'!$A25)</f>
        <v>0</v>
      </c>
      <c r="H25" s="71">
        <f>SUMIFS('CASH BOOK 2019'!$K:$K,'CASH BOOK 2019'!$B:$B,'CASHFLOW 2019'!H$1,'CASH BOOK 2019'!$D:$D,'CASHFLOW 2019'!$A25)</f>
        <v>0</v>
      </c>
      <c r="I25" s="71">
        <f>SUMIFS('CASH BOOK 2019'!$K:$K,'CASH BOOK 2019'!$B:$B,'CASHFLOW 2019'!I$1,'CASH BOOK 2019'!$D:$D,'CASHFLOW 2019'!$A25)</f>
        <v>0</v>
      </c>
      <c r="J25" s="71">
        <f>SUMIFS('CASH BOOK 2019'!$K:$K,'CASH BOOK 2019'!$B:$B,'CASHFLOW 2019'!J$1,'CASH BOOK 2019'!$D:$D,'CASHFLOW 2019'!$A25)</f>
        <v>0</v>
      </c>
      <c r="K25" s="71">
        <f>SUMIFS('CASH BOOK 2019'!$K:$K,'CASH BOOK 2019'!$B:$B,'CASHFLOW 2019'!K$1,'CASH BOOK 2019'!$D:$D,'CASHFLOW 2019'!$A25)</f>
        <v>0</v>
      </c>
      <c r="L25" s="71">
        <f>SUMIFS('CASH BOOK 2019'!$K:$K,'CASH BOOK 2019'!$B:$B,'CASHFLOW 2019'!L$1,'CASH BOOK 2019'!$D:$D,'CASHFLOW 2019'!$A25)</f>
        <v>0</v>
      </c>
      <c r="M25" s="71">
        <f>SUMIFS('CASH BOOK 2019'!$K:$K,'CASH BOOK 2019'!$B:$B,'CASHFLOW 2019'!M$1,'CASH BOOK 2019'!$D:$D,'CASHFLOW 2019'!$A25)</f>
        <v>0</v>
      </c>
      <c r="N25" s="71">
        <f>SUMIFS('CASH BOOK 2019'!$K:$K,'CASH BOOK 2019'!$B:$B,'CASHFLOW 2019'!N$1,'CASH BOOK 2019'!$D:$D,'CASHFLOW 2019'!$A25)</f>
        <v>0</v>
      </c>
      <c r="O25" s="71">
        <f>SUMIFS('CASH BOOK 2019'!$K:$K,'CASH BOOK 2019'!$B:$B,'CASHFLOW 2019'!O$1,'CASH BOOK 2019'!$D:$D,'CASHFLOW 2019'!$A25)</f>
        <v>0</v>
      </c>
      <c r="P25" s="69">
        <f t="shared" si="2"/>
        <v>0</v>
      </c>
      <c r="Q25" s="70">
        <v>500</v>
      </c>
    </row>
    <row r="26" spans="1:17" x14ac:dyDescent="0.35">
      <c r="A26" s="9" t="s">
        <v>621</v>
      </c>
      <c r="C26" s="68"/>
      <c r="D26" s="71">
        <f>SUMIFS('CASH BOOK 2019'!$K:$K,'CASH BOOK 2019'!$B:$B,'CASHFLOW 2019'!D$1,'CASH BOOK 2019'!$D:$D,'CASHFLOW 2019'!$A26)</f>
        <v>0</v>
      </c>
      <c r="E26" s="71">
        <f>SUMIFS('CASH BOOK 2019'!$K:$K,'CASH BOOK 2019'!$B:$B,'CASHFLOW 2019'!E$1,'CASH BOOK 2019'!$D:$D,'CASHFLOW 2019'!$A26)</f>
        <v>-53.82</v>
      </c>
      <c r="F26" s="71">
        <f>SUMIFS('CASH BOOK 2019'!$K:$K,'CASH BOOK 2019'!$B:$B,'CASHFLOW 2019'!F$1,'CASH BOOK 2019'!$D:$D,'CASHFLOW 2019'!$A26)</f>
        <v>-50</v>
      </c>
      <c r="G26" s="71">
        <f>SUMIFS('CASH BOOK 2019'!$K:$K,'CASH BOOK 2019'!$B:$B,'CASHFLOW 2019'!G$1,'CASH BOOK 2019'!$D:$D,'CASHFLOW 2019'!$A26)</f>
        <v>0</v>
      </c>
      <c r="H26" s="71">
        <f>SUMIFS('CASH BOOK 2019'!$K:$K,'CASH BOOK 2019'!$B:$B,'CASHFLOW 2019'!H$1,'CASH BOOK 2019'!$D:$D,'CASHFLOW 2019'!$A26)</f>
        <v>0</v>
      </c>
      <c r="I26" s="71">
        <f>SUMIFS('CASH BOOK 2019'!$K:$K,'CASH BOOK 2019'!$B:$B,'CASHFLOW 2019'!I$1,'CASH BOOK 2019'!$D:$D,'CASHFLOW 2019'!$A26)</f>
        <v>0</v>
      </c>
      <c r="J26" s="71">
        <f>SUMIFS('CASH BOOK 2019'!$K:$K,'CASH BOOK 2019'!$B:$B,'CASHFLOW 2019'!J$1,'CASH BOOK 2019'!$D:$D,'CASHFLOW 2019'!$A26)</f>
        <v>0</v>
      </c>
      <c r="K26" s="71">
        <f>SUMIFS('CASH BOOK 2019'!$K:$K,'CASH BOOK 2019'!$B:$B,'CASHFLOW 2019'!K$1,'CASH BOOK 2019'!$D:$D,'CASHFLOW 2019'!$A26)</f>
        <v>0</v>
      </c>
      <c r="L26" s="71">
        <f>SUMIFS('CASH BOOK 2019'!$K:$K,'CASH BOOK 2019'!$B:$B,'CASHFLOW 2019'!L$1,'CASH BOOK 2019'!$D:$D,'CASHFLOW 2019'!$A26)</f>
        <v>-112.16</v>
      </c>
      <c r="M26" s="71">
        <f>SUMIFS('CASH BOOK 2019'!$K:$K,'CASH BOOK 2019'!$B:$B,'CASHFLOW 2019'!M$1,'CASH BOOK 2019'!$D:$D,'CASHFLOW 2019'!$A26)</f>
        <v>-328</v>
      </c>
      <c r="N26" s="71">
        <f>SUMIFS('CASH BOOK 2019'!$K:$K,'CASH BOOK 2019'!$B:$B,'CASHFLOW 2019'!N$1,'CASH BOOK 2019'!$D:$D,'CASHFLOW 2019'!$A26)</f>
        <v>-80.78</v>
      </c>
      <c r="O26" s="71">
        <f>SUMIFS('CASH BOOK 2019'!$K:$K,'CASH BOOK 2019'!$B:$B,'CASHFLOW 2019'!O$1,'CASH BOOK 2019'!$D:$D,'CASHFLOW 2019'!$A26)</f>
        <v>-100</v>
      </c>
      <c r="P26" s="69">
        <f t="shared" si="2"/>
        <v>-724.76</v>
      </c>
      <c r="Q26" s="70">
        <v>1000</v>
      </c>
    </row>
    <row r="27" spans="1:17" x14ac:dyDescent="0.35">
      <c r="C27" s="68"/>
      <c r="D27" s="71">
        <f>SUMIFS('CASH BOOK 2019'!$K:$K,'CASH BOOK 2019'!$B:$B,'CASHFLOW 2019'!D$1,'CASH BOOK 2019'!$D:$D,'CASHFLOW 2019'!$A27)</f>
        <v>0</v>
      </c>
      <c r="E27" s="71">
        <f>SUMIFS('CASH BOOK 2019'!$K:$K,'CASH BOOK 2019'!$B:$B,'CASHFLOW 2019'!E$1,'CASH BOOK 2019'!$D:$D,'CASHFLOW 2019'!$A27)</f>
        <v>0</v>
      </c>
      <c r="F27" s="71">
        <f>SUMIFS('CASH BOOK 2019'!$K:$K,'CASH BOOK 2019'!$B:$B,'CASHFLOW 2019'!F$1,'CASH BOOK 2019'!$D:$D,'CASHFLOW 2019'!$A27)</f>
        <v>0</v>
      </c>
      <c r="G27" s="71">
        <f>SUMIFS('CASH BOOK 2019'!$K:$K,'CASH BOOK 2019'!$B:$B,'CASHFLOW 2019'!G$1,'CASH BOOK 2019'!$D:$D,'CASHFLOW 2019'!$A27)</f>
        <v>0</v>
      </c>
      <c r="H27" s="71">
        <f>SUMIFS('CASH BOOK 2019'!$K:$K,'CASH BOOK 2019'!$B:$B,'CASHFLOW 2019'!H$1,'CASH BOOK 2019'!$D:$D,'CASHFLOW 2019'!$A27)</f>
        <v>0</v>
      </c>
      <c r="I27" s="71">
        <f>SUMIFS('CASH BOOK 2019'!$K:$K,'CASH BOOK 2019'!$B:$B,'CASHFLOW 2019'!I$1,'CASH BOOK 2019'!$D:$D,'CASHFLOW 2019'!$A27)</f>
        <v>0</v>
      </c>
      <c r="J27" s="71">
        <f>SUMIFS('CASH BOOK 2019'!$K:$K,'CASH BOOK 2019'!$B:$B,'CASHFLOW 2019'!J$1,'CASH BOOK 2019'!$D:$D,'CASHFLOW 2019'!$A27)</f>
        <v>0</v>
      </c>
      <c r="K27" s="71">
        <f>SUMIFS('CASH BOOK 2019'!$K:$K,'CASH BOOK 2019'!$B:$B,'CASHFLOW 2019'!K$1,'CASH BOOK 2019'!$D:$D,'CASHFLOW 2019'!$A27)</f>
        <v>0</v>
      </c>
      <c r="L27" s="71">
        <f>SUMIFS('CASH BOOK 2019'!$K:$K,'CASH BOOK 2019'!$B:$B,'CASHFLOW 2019'!L$1,'CASH BOOK 2019'!$D:$D,'CASHFLOW 2019'!$A27)</f>
        <v>0</v>
      </c>
      <c r="M27" s="71">
        <f>SUMIFS('CASH BOOK 2019'!$K:$K,'CASH BOOK 2019'!$B:$B,'CASHFLOW 2019'!M$1,'CASH BOOK 2019'!$D:$D,'CASHFLOW 2019'!$A27)</f>
        <v>0</v>
      </c>
      <c r="N27" s="71">
        <f>SUMIFS('CASH BOOK 2019'!$K:$K,'CASH BOOK 2019'!$B:$B,'CASHFLOW 2019'!N$1,'CASH BOOK 2019'!$D:$D,'CASHFLOW 2019'!$A27)</f>
        <v>0</v>
      </c>
      <c r="O27" s="71">
        <f>SUMIFS('CASH BOOK 2019'!$K:$K,'CASH BOOK 2019'!$B:$B,'CASHFLOW 2019'!O$1,'CASH BOOK 2019'!$D:$D,'CASHFLOW 2019'!$A27)</f>
        <v>0</v>
      </c>
      <c r="P27" s="69">
        <f>SUM(D27:O27)</f>
        <v>0</v>
      </c>
      <c r="Q27" s="70"/>
    </row>
    <row r="28" spans="1:17" x14ac:dyDescent="0.35">
      <c r="C28" s="68"/>
      <c r="D28" s="71">
        <f>SUMIFS('CASH BOOK 2019'!$K:$K,'CASH BOOK 2019'!$B:$B,'CASHFLOW 2019'!D$1,'CASH BOOK 2019'!$D:$D,'CASHFLOW 2019'!$A28)</f>
        <v>0</v>
      </c>
      <c r="E28" s="71">
        <f>SUMIFS('CASH BOOK 2019'!$K:$K,'CASH BOOK 2019'!$B:$B,'CASHFLOW 2019'!E$1,'CASH BOOK 2019'!$D:$D,'CASHFLOW 2019'!$A28)</f>
        <v>0</v>
      </c>
      <c r="F28" s="71">
        <f>SUMIFS('CASH BOOK 2019'!$K:$K,'CASH BOOK 2019'!$B:$B,'CASHFLOW 2019'!F$1,'CASH BOOK 2019'!$D:$D,'CASHFLOW 2019'!$A28)</f>
        <v>0</v>
      </c>
      <c r="G28" s="71">
        <f>SUMIFS('CASH BOOK 2019'!$K:$K,'CASH BOOK 2019'!$B:$B,'CASHFLOW 2019'!G$1,'CASH BOOK 2019'!$D:$D,'CASHFLOW 2019'!$A28)</f>
        <v>0</v>
      </c>
      <c r="H28" s="71">
        <f>SUMIFS('CASH BOOK 2019'!$K:$K,'CASH BOOK 2019'!$B:$B,'CASHFLOW 2019'!H$1,'CASH BOOK 2019'!$D:$D,'CASHFLOW 2019'!$A28)</f>
        <v>0</v>
      </c>
      <c r="I28" s="71">
        <f>SUMIFS('CASH BOOK 2019'!$K:$K,'CASH BOOK 2019'!$B:$B,'CASHFLOW 2019'!I$1,'CASH BOOK 2019'!$D:$D,'CASHFLOW 2019'!$A28)</f>
        <v>0</v>
      </c>
      <c r="J28" s="71">
        <f>SUMIFS('CASH BOOK 2019'!$K:$K,'CASH BOOK 2019'!$B:$B,'CASHFLOW 2019'!J$1,'CASH BOOK 2019'!$D:$D,'CASHFLOW 2019'!$A28)</f>
        <v>0</v>
      </c>
      <c r="K28" s="71">
        <f>SUMIFS('CASH BOOK 2019'!$K:$K,'CASH BOOK 2019'!$B:$B,'CASHFLOW 2019'!K$1,'CASH BOOK 2019'!$D:$D,'CASHFLOW 2019'!$A28)</f>
        <v>0</v>
      </c>
      <c r="L28" s="71">
        <f>SUMIFS('CASH BOOK 2019'!$K:$K,'CASH BOOK 2019'!$B:$B,'CASHFLOW 2019'!L$1,'CASH BOOK 2019'!$D:$D,'CASHFLOW 2019'!$A28)</f>
        <v>0</v>
      </c>
      <c r="M28" s="71">
        <f>SUMIFS('CASH BOOK 2019'!$K:$K,'CASH BOOK 2019'!$B:$B,'CASHFLOW 2019'!M$1,'CASH BOOK 2019'!$D:$D,'CASHFLOW 2019'!$A28)</f>
        <v>0</v>
      </c>
      <c r="N28" s="71">
        <f>SUMIFS('CASH BOOK 2019'!$K:$K,'CASH BOOK 2019'!$B:$B,'CASHFLOW 2019'!N$1,'CASH BOOK 2019'!$D:$D,'CASHFLOW 2019'!$A28)</f>
        <v>0</v>
      </c>
      <c r="O28" s="71">
        <f>SUMIFS('CASH BOOK 2019'!$K:$K,'CASH BOOK 2019'!$B:$B,'CASHFLOW 2019'!O$1,'CASH BOOK 2019'!$D:$D,'CASHFLOW 2019'!$A28)</f>
        <v>0</v>
      </c>
      <c r="P28" s="69">
        <f t="shared" si="2"/>
        <v>0</v>
      </c>
      <c r="Q28" s="70">
        <v>0</v>
      </c>
    </row>
    <row r="29" spans="1:17" x14ac:dyDescent="0.35">
      <c r="C29" s="68"/>
      <c r="D29" s="72">
        <f>SUM(D14:D28)</f>
        <v>-1707.3600000000001</v>
      </c>
      <c r="E29" s="72">
        <f>SUM(E14:E28)</f>
        <v>-2003.2400000000002</v>
      </c>
      <c r="F29" s="72">
        <f>SUM(F14:F28)</f>
        <v>-2021.69</v>
      </c>
      <c r="G29" s="72">
        <f>SUM(G14:G28)</f>
        <v>-2335.63</v>
      </c>
      <c r="H29" s="72">
        <f>SUM(H14:H28)</f>
        <v>-836.15000000000009</v>
      </c>
      <c r="I29" s="72">
        <f t="shared" ref="I29:P29" si="3">SUM(I14:I28)</f>
        <v>-1465.1</v>
      </c>
      <c r="J29" s="72">
        <f t="shared" si="3"/>
        <v>-3342.97</v>
      </c>
      <c r="K29" s="72">
        <f t="shared" si="3"/>
        <v>-1580.7199999999998</v>
      </c>
      <c r="L29" s="72">
        <f t="shared" si="3"/>
        <v>-2931.0599999999995</v>
      </c>
      <c r="M29" s="72">
        <f t="shared" si="3"/>
        <v>-1209.48</v>
      </c>
      <c r="N29" s="72">
        <f t="shared" si="3"/>
        <v>-1046.54</v>
      </c>
      <c r="O29" s="72">
        <f t="shared" si="3"/>
        <v>-5447.92</v>
      </c>
      <c r="P29" s="72">
        <f t="shared" si="3"/>
        <v>-25927.86</v>
      </c>
      <c r="Q29" s="73">
        <f>SUM(Q14:Q28)</f>
        <v>19200</v>
      </c>
    </row>
    <row r="30" spans="1:17" x14ac:dyDescent="0.3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1:17" s="80" customFormat="1" x14ac:dyDescent="0.35">
      <c r="A31" s="80" t="s">
        <v>507</v>
      </c>
      <c r="C31" s="81"/>
      <c r="D31" s="81">
        <f>D12+D29</f>
        <v>7225.2699999999986</v>
      </c>
      <c r="E31" s="81">
        <f t="shared" ref="E31:P31" si="4">E12+E29</f>
        <v>-355.84000000000015</v>
      </c>
      <c r="F31" s="81">
        <f t="shared" si="4"/>
        <v>-1242.19</v>
      </c>
      <c r="G31" s="81">
        <f t="shared" si="4"/>
        <v>1788.8199999999997</v>
      </c>
      <c r="H31" s="81">
        <f t="shared" si="4"/>
        <v>169.75</v>
      </c>
      <c r="I31" s="81">
        <f t="shared" si="4"/>
        <v>-581.59999999999991</v>
      </c>
      <c r="J31" s="81">
        <f t="shared" si="4"/>
        <v>-2371.6</v>
      </c>
      <c r="K31" s="81">
        <f t="shared" si="4"/>
        <v>-1053.7199999999998</v>
      </c>
      <c r="L31" s="81">
        <f t="shared" si="4"/>
        <v>2080.9400000000005</v>
      </c>
      <c r="M31" s="81">
        <f t="shared" si="4"/>
        <v>-715.48</v>
      </c>
      <c r="N31" s="81">
        <f t="shared" si="4"/>
        <v>-179.25</v>
      </c>
      <c r="O31" s="81">
        <f t="shared" si="4"/>
        <v>-4583.25</v>
      </c>
      <c r="P31" s="81">
        <f t="shared" si="4"/>
        <v>181.84999999999854</v>
      </c>
      <c r="Q31" s="82"/>
    </row>
    <row r="32" spans="1:17" x14ac:dyDescent="0.3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1:19" ht="13.5" thickBot="1" x14ac:dyDescent="0.4"/>
    <row r="34" spans="1:19" ht="13.5" thickTop="1" x14ac:dyDescent="0.35">
      <c r="A34" s="9" t="s">
        <v>499</v>
      </c>
      <c r="C34" s="68"/>
      <c r="D34" s="71">
        <f>SUMIFS('CASH BOOK 2019'!$K:$K,'CASH BOOK 2019'!$B:$B,'CASHFLOW 2019'!D$1,'CASH BOOK 2019'!$D:$D,'CASHFLOW 2019'!$A34)</f>
        <v>199</v>
      </c>
      <c r="E34" s="71">
        <f>SUMIFS('CASH BOOK 2019'!$K:$K,'CASH BOOK 2019'!$B:$B,'CASHFLOW 2019'!E$1,'CASH BOOK 2019'!$D:$D,'CASHFLOW 2019'!$A34)</f>
        <v>370</v>
      </c>
      <c r="F34" s="71">
        <f>SUMIFS('CASH BOOK 2019'!$K:$K,'CASH BOOK 2019'!$B:$B,'CASHFLOW 2019'!F$1,'CASH BOOK 2019'!$D:$D,'CASHFLOW 2019'!$A34)</f>
        <v>100</v>
      </c>
      <c r="G34" s="71">
        <f>SUMIFS('CASH BOOK 2019'!$K:$K,'CASH BOOK 2019'!$B:$B,'CASHFLOW 2019'!G$1,'CASH BOOK 2019'!$D:$D,'CASHFLOW 2019'!$A34)</f>
        <v>225</v>
      </c>
      <c r="H34" s="71">
        <f>SUMIFS('CASH BOOK 2019'!$K:$K,'CASH BOOK 2019'!$B:$B,'CASHFLOW 2019'!H$1,'CASH BOOK 2019'!$D:$D,'CASHFLOW 2019'!$A34)</f>
        <v>125</v>
      </c>
      <c r="I34" s="71">
        <f>SUMIFS('CASH BOOK 2019'!$K:$K,'CASH BOOK 2019'!$B:$B,'CASHFLOW 2019'!I$1,'CASH BOOK 2019'!$D:$D,'CASHFLOW 2019'!$A34)</f>
        <v>300</v>
      </c>
      <c r="J34" s="71">
        <f>SUMIFS('CASH BOOK 2019'!$K:$K,'CASH BOOK 2019'!$B:$B,'CASHFLOW 2019'!J$1,'CASH BOOK 2019'!$D:$D,'CASHFLOW 2019'!$A34)</f>
        <v>50</v>
      </c>
      <c r="K34" s="71">
        <f>SUMIFS('CASH BOOK 2019'!$K:$K,'CASH BOOK 2019'!$B:$B,'CASHFLOW 2019'!K$1,'CASH BOOK 2019'!$D:$D,'CASHFLOW 2019'!$A34)</f>
        <v>242</v>
      </c>
      <c r="L34" s="71">
        <f>SUMIFS('CASH BOOK 2019'!$K:$K,'CASH BOOK 2019'!$B:$B,'CASHFLOW 2019'!L$1,'CASH BOOK 2019'!$D:$D,'CASHFLOW 2019'!$A34)</f>
        <v>250</v>
      </c>
      <c r="M34" s="71">
        <f>SUMIFS('CASH BOOK 2019'!$K:$K,'CASH BOOK 2019'!$B:$B,'CASHFLOW 2019'!M$1,'CASH BOOK 2019'!$D:$D,'CASHFLOW 2019'!$A34)</f>
        <v>300</v>
      </c>
      <c r="N34" s="71">
        <f>SUMIFS('CASH BOOK 2019'!$K:$K,'CASH BOOK 2019'!$B:$B,'CASHFLOW 2019'!N$1,'CASH BOOK 2019'!$D:$D,'CASHFLOW 2019'!$A34)</f>
        <v>350</v>
      </c>
      <c r="O34" s="71">
        <f>SUMIFS('CASH BOOK 2019'!$K:$K,'CASH BOOK 2019'!$B:$B,'CASHFLOW 2019'!O$1,'CASH BOOK 2019'!$D:$D,'CASHFLOW 2019'!$A34)</f>
        <v>150</v>
      </c>
      <c r="P34" s="69">
        <f>SUM(D34:O34)</f>
        <v>2661</v>
      </c>
      <c r="Q34" s="70"/>
      <c r="R34" s="93" t="s">
        <v>522</v>
      </c>
      <c r="S34" s="94"/>
    </row>
    <row r="35" spans="1:19" x14ac:dyDescent="0.35">
      <c r="A35" s="9" t="s">
        <v>504</v>
      </c>
      <c r="C35" s="68"/>
      <c r="D35" s="71">
        <f>SUMIFS('CASH BOOK 2019'!$K:$K,'CASH BOOK 2019'!$B:$B,'CASHFLOW 2019'!D$1,'CASH BOOK 2019'!$D:$D,'CASHFLOW 2019'!$A35)</f>
        <v>-199</v>
      </c>
      <c r="E35" s="71">
        <f>SUMIFS('CASH BOOK 2019'!$K:$K,'CASH BOOK 2019'!$B:$B,'CASHFLOW 2019'!E$1,'CASH BOOK 2019'!$D:$D,'CASHFLOW 2019'!$A35)</f>
        <v>-150</v>
      </c>
      <c r="F35" s="71">
        <f>SUMIFS('CASH BOOK 2019'!$K:$K,'CASH BOOK 2019'!$B:$B,'CASHFLOW 2019'!F$1,'CASH BOOK 2019'!$D:$D,'CASHFLOW 2019'!$A35)</f>
        <v>-280</v>
      </c>
      <c r="G35" s="71">
        <f>SUMIFS('CASH BOOK 2019'!$K:$K,'CASH BOOK 2019'!$B:$B,'CASHFLOW 2019'!G$1,'CASH BOOK 2019'!$D:$D,'CASHFLOW 2019'!$A35)</f>
        <v>-225</v>
      </c>
      <c r="H35" s="71">
        <f>SUMIFS('CASH BOOK 2019'!$K:$K,'CASH BOOK 2019'!$B:$B,'CASHFLOW 2019'!H$1,'CASH BOOK 2019'!$D:$D,'CASHFLOW 2019'!$A35)</f>
        <v>-175</v>
      </c>
      <c r="I35" s="71">
        <f>SUMIFS('CASH BOOK 2019'!$K:$K,'CASH BOOK 2019'!$B:$B,'CASHFLOW 2019'!I$1,'CASH BOOK 2019'!$D:$D,'CASHFLOW 2019'!$A35)</f>
        <v>-50</v>
      </c>
      <c r="J35" s="71">
        <f>SUMIFS('CASH BOOK 2019'!$K:$K,'CASH BOOK 2019'!$B:$B,'CASHFLOW 2019'!J$1,'CASH BOOK 2019'!$D:$D,'CASHFLOW 2019'!$A35)</f>
        <v>-320</v>
      </c>
      <c r="K35" s="71">
        <f>SUMIFS('CASH BOOK 2019'!$K:$K,'CASH BOOK 2019'!$B:$B,'CASHFLOW 2019'!K$1,'CASH BOOK 2019'!$D:$D,'CASHFLOW 2019'!$A35)</f>
        <v>-200</v>
      </c>
      <c r="L35" s="71">
        <f>SUMIFS('CASH BOOK 2019'!$K:$K,'CASH BOOK 2019'!$B:$B,'CASHFLOW 2019'!L$1,'CASH BOOK 2019'!$D:$D,'CASHFLOW 2019'!$A35)</f>
        <v>-142</v>
      </c>
      <c r="M35" s="71">
        <f>SUMIFS('CASH BOOK 2019'!$K:$K,'CASH BOOK 2019'!$B:$B,'CASHFLOW 2019'!M$1,'CASH BOOK 2019'!$D:$D,'CASHFLOW 2019'!$A35)</f>
        <v>-300</v>
      </c>
      <c r="N35" s="71">
        <f>SUMIFS('CASH BOOK 2019'!$K:$K,'CASH BOOK 2019'!$B:$B,'CASHFLOW 2019'!N$1,'CASH BOOK 2019'!$D:$D,'CASHFLOW 2019'!$A35)</f>
        <v>-300</v>
      </c>
      <c r="O35" s="71">
        <f>SUMIFS('CASH BOOK 2019'!$K:$K,'CASH BOOK 2019'!$B:$B,'CASHFLOW 2019'!O$1,'CASH BOOK 2019'!$D:$D,'CASHFLOW 2019'!$A35)</f>
        <v>-50</v>
      </c>
      <c r="P35" s="69">
        <f>SUM(D35:O35)</f>
        <v>-2391</v>
      </c>
      <c r="Q35" s="70"/>
      <c r="R35" s="95"/>
      <c r="S35" s="96"/>
    </row>
    <row r="36" spans="1:19" s="80" customFormat="1" ht="13.5" thickBot="1" x14ac:dyDescent="0.4">
      <c r="A36" s="80" t="s">
        <v>506</v>
      </c>
      <c r="C36" s="119">
        <f>'CASHFLOW 2018'!R36</f>
        <v>280</v>
      </c>
      <c r="D36" s="90">
        <f>SUM(D34:D35)</f>
        <v>0</v>
      </c>
      <c r="E36" s="90">
        <f t="shared" ref="E36:P36" si="5">SUM(E34:E35)</f>
        <v>220</v>
      </c>
      <c r="F36" s="90">
        <f t="shared" si="5"/>
        <v>-180</v>
      </c>
      <c r="G36" s="90">
        <f t="shared" si="5"/>
        <v>0</v>
      </c>
      <c r="H36" s="90">
        <f t="shared" si="5"/>
        <v>-50</v>
      </c>
      <c r="I36" s="90">
        <f t="shared" si="5"/>
        <v>250</v>
      </c>
      <c r="J36" s="90">
        <f t="shared" si="5"/>
        <v>-270</v>
      </c>
      <c r="K36" s="90">
        <f t="shared" si="5"/>
        <v>42</v>
      </c>
      <c r="L36" s="90">
        <f t="shared" si="5"/>
        <v>108</v>
      </c>
      <c r="M36" s="90">
        <f t="shared" si="5"/>
        <v>0</v>
      </c>
      <c r="N36" s="90">
        <f t="shared" si="5"/>
        <v>50</v>
      </c>
      <c r="O36" s="90">
        <f t="shared" si="5"/>
        <v>100</v>
      </c>
      <c r="P36" s="90">
        <f t="shared" si="5"/>
        <v>270</v>
      </c>
      <c r="Q36" s="91"/>
      <c r="R36" s="97">
        <f>C36+P36</f>
        <v>550</v>
      </c>
      <c r="S36" s="98"/>
    </row>
    <row r="37" spans="1:19" ht="13.5" thickTop="1" x14ac:dyDescent="0.3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1:19" s="80" customFormat="1" x14ac:dyDescent="0.35">
      <c r="A38" s="80" t="s">
        <v>508</v>
      </c>
      <c r="C38" s="81">
        <f>'CASHFLOW 2018'!P38</f>
        <v>21616.03</v>
      </c>
      <c r="D38" s="84">
        <f t="shared" ref="D38:O38" si="6">C38+D31+D36</f>
        <v>28841.299999999996</v>
      </c>
      <c r="E38" s="84">
        <f t="shared" si="6"/>
        <v>28705.459999999995</v>
      </c>
      <c r="F38" s="84">
        <f t="shared" si="6"/>
        <v>27283.269999999997</v>
      </c>
      <c r="G38" s="84">
        <f t="shared" si="6"/>
        <v>29072.089999999997</v>
      </c>
      <c r="H38" s="84">
        <f t="shared" si="6"/>
        <v>29191.839999999997</v>
      </c>
      <c r="I38" s="84">
        <f t="shared" si="6"/>
        <v>28860.239999999998</v>
      </c>
      <c r="J38" s="84">
        <f t="shared" si="6"/>
        <v>26218.639999999999</v>
      </c>
      <c r="K38" s="84">
        <f t="shared" si="6"/>
        <v>25206.92</v>
      </c>
      <c r="L38" s="84">
        <f t="shared" si="6"/>
        <v>27395.86</v>
      </c>
      <c r="M38" s="84">
        <f t="shared" si="6"/>
        <v>26680.38</v>
      </c>
      <c r="N38" s="84">
        <f t="shared" si="6"/>
        <v>26551.13</v>
      </c>
      <c r="O38" s="84">
        <f t="shared" si="6"/>
        <v>22067.88</v>
      </c>
      <c r="P38" s="84">
        <f>O38</f>
        <v>22067.88</v>
      </c>
      <c r="Q38" s="82"/>
    </row>
    <row r="39" spans="1:19" s="80" customFormat="1" x14ac:dyDescent="0.35">
      <c r="C39" s="81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2"/>
    </row>
    <row r="40" spans="1:19" x14ac:dyDescent="0.35">
      <c r="A40" s="9" t="s">
        <v>505</v>
      </c>
      <c r="C40" s="68"/>
      <c r="D40" s="71">
        <f>SUMIFS('CASH BOOK 2017'!$K:$K,'CASH BOOK 2017'!$B:$B,'CASHFLOW 2019'!D$1,'CASH BOOK 2017'!$D:$D,'CASHFLOW 2019'!$A40)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92">
        <f>SUM(D40:O40)</f>
        <v>0</v>
      </c>
      <c r="Q40" s="70">
        <v>0</v>
      </c>
    </row>
    <row r="41" spans="1:19" x14ac:dyDescent="0.35">
      <c r="A41" s="9" t="s">
        <v>39</v>
      </c>
      <c r="C41" s="68"/>
      <c r="D41" s="71">
        <f>SUMIFS('CASH BOOK 2017'!$K:$K,'CASH BOOK 2017'!$B:$B,'CASHFLOW 2019'!D$1,'CASH BOOK 2017'!$D:$D,'CASHFLOW 2019'!$A41)</f>
        <v>0</v>
      </c>
      <c r="E41" s="68"/>
      <c r="F41" s="68"/>
      <c r="G41" s="68">
        <v>36.58</v>
      </c>
      <c r="H41" s="68"/>
      <c r="I41" s="68"/>
      <c r="J41" s="68">
        <v>37.1</v>
      </c>
      <c r="K41" s="68"/>
      <c r="L41" s="68"/>
      <c r="M41" s="68">
        <v>37.630000000000003</v>
      </c>
      <c r="N41" s="68"/>
      <c r="O41" s="68">
        <v>37</v>
      </c>
      <c r="P41" s="69">
        <f>SUM(D41:O41)</f>
        <v>148.31</v>
      </c>
      <c r="Q41" s="70">
        <v>120</v>
      </c>
    </row>
    <row r="42" spans="1:19" s="80" customFormat="1" x14ac:dyDescent="0.35">
      <c r="A42" s="79" t="s">
        <v>509</v>
      </c>
      <c r="B42" s="79"/>
      <c r="C42" s="83"/>
      <c r="D42" s="83">
        <f>SUM(D40:D41)</f>
        <v>0</v>
      </c>
      <c r="E42" s="83">
        <f t="shared" ref="E42:P42" si="7">SUM(E40:E41)</f>
        <v>0</v>
      </c>
      <c r="F42" s="83">
        <f t="shared" si="7"/>
        <v>0</v>
      </c>
      <c r="G42" s="83">
        <f t="shared" si="7"/>
        <v>36.58</v>
      </c>
      <c r="H42" s="83">
        <f t="shared" si="7"/>
        <v>0</v>
      </c>
      <c r="I42" s="83">
        <f t="shared" si="7"/>
        <v>0</v>
      </c>
      <c r="J42" s="83">
        <f t="shared" si="7"/>
        <v>37.1</v>
      </c>
      <c r="K42" s="83">
        <f t="shared" si="7"/>
        <v>0</v>
      </c>
      <c r="L42" s="83">
        <f t="shared" si="7"/>
        <v>0</v>
      </c>
      <c r="M42" s="83">
        <f t="shared" si="7"/>
        <v>37.630000000000003</v>
      </c>
      <c r="N42" s="83">
        <f t="shared" si="7"/>
        <v>0</v>
      </c>
      <c r="O42" s="83">
        <f t="shared" si="7"/>
        <v>37</v>
      </c>
      <c r="P42" s="83">
        <f t="shared" si="7"/>
        <v>148.31</v>
      </c>
      <c r="Q42" s="82"/>
    </row>
    <row r="44" spans="1:19" x14ac:dyDescent="0.35">
      <c r="A44" s="9" t="s">
        <v>15</v>
      </c>
      <c r="C44" s="68">
        <f>'ACCOUNTS 21'!G48</f>
        <v>0</v>
      </c>
      <c r="D44" s="71">
        <f>C44+D42</f>
        <v>0</v>
      </c>
      <c r="E44" s="71">
        <f t="shared" ref="E44:O44" si="8">D44+E42</f>
        <v>0</v>
      </c>
      <c r="F44" s="71">
        <f t="shared" si="8"/>
        <v>0</v>
      </c>
      <c r="G44" s="71">
        <f t="shared" si="8"/>
        <v>36.58</v>
      </c>
      <c r="H44" s="71">
        <f t="shared" si="8"/>
        <v>36.58</v>
      </c>
      <c r="I44" s="71">
        <f t="shared" si="8"/>
        <v>36.58</v>
      </c>
      <c r="J44" s="71">
        <f t="shared" si="8"/>
        <v>73.680000000000007</v>
      </c>
      <c r="K44" s="71">
        <f t="shared" si="8"/>
        <v>73.680000000000007</v>
      </c>
      <c r="L44" s="71">
        <f t="shared" si="8"/>
        <v>73.680000000000007</v>
      </c>
      <c r="M44" s="71">
        <f t="shared" si="8"/>
        <v>111.31</v>
      </c>
      <c r="N44" s="71">
        <f t="shared" si="8"/>
        <v>111.31</v>
      </c>
      <c r="O44" s="71">
        <f t="shared" si="8"/>
        <v>148.31</v>
      </c>
      <c r="P44" s="71">
        <f>O44</f>
        <v>148.31</v>
      </c>
      <c r="Q44" s="70"/>
    </row>
    <row r="46" spans="1:19" s="85" customFormat="1" x14ac:dyDescent="0.35">
      <c r="A46" s="85" t="s">
        <v>510</v>
      </c>
      <c r="C46" s="86"/>
      <c r="D46" s="8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8"/>
      <c r="Q46" s="89"/>
    </row>
    <row r="47" spans="1:19" s="85" customFormat="1" x14ac:dyDescent="0.35">
      <c r="A47" s="85" t="s">
        <v>511</v>
      </c>
      <c r="C47" s="86"/>
      <c r="D47" s="8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8"/>
      <c r="Q47" s="89"/>
    </row>
    <row r="48" spans="1:19" x14ac:dyDescent="0.3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70"/>
    </row>
    <row r="49" spans="3:17" x14ac:dyDescent="0.35">
      <c r="C49" s="6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0"/>
    </row>
    <row r="50" spans="3:17" x14ac:dyDescent="0.3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0"/>
    </row>
    <row r="51" spans="3:17" x14ac:dyDescent="0.3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3:17" x14ac:dyDescent="0.3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70"/>
    </row>
    <row r="53" spans="3:17" x14ac:dyDescent="0.3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60" orientation="landscape"/>
  <headerFooter alignWithMargins="0">
    <oddHeader>&amp;L&amp;"Arial,Bold"Year ended 31 December 2017
&amp;C&amp;"Trebuchet MS,Bold"WILLASTON MEMORIAL HALL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5:C22"/>
  <sheetViews>
    <sheetView topLeftCell="A4" workbookViewId="0">
      <selection activeCell="F26" sqref="F26"/>
    </sheetView>
  </sheetViews>
  <sheetFormatPr defaultColWidth="8.7265625" defaultRowHeight="20" x14ac:dyDescent="0.4"/>
  <cols>
    <col min="1" max="1" width="8.7265625" style="19"/>
    <col min="2" max="2" width="8.7265625" style="20"/>
    <col min="3" max="3" width="36.90625" style="19" customWidth="1"/>
  </cols>
  <sheetData>
    <row r="5" spans="2:3" x14ac:dyDescent="0.4">
      <c r="C5" s="20" t="s">
        <v>104</v>
      </c>
    </row>
    <row r="6" spans="2:3" x14ac:dyDescent="0.4">
      <c r="C6" s="20"/>
    </row>
    <row r="7" spans="2:3" x14ac:dyDescent="0.4">
      <c r="B7" s="20" t="s">
        <v>98</v>
      </c>
      <c r="C7" s="19" t="s">
        <v>99</v>
      </c>
    </row>
    <row r="8" spans="2:3" x14ac:dyDescent="0.4">
      <c r="B8" s="20" t="s">
        <v>100</v>
      </c>
      <c r="C8" s="19" t="s">
        <v>101</v>
      </c>
    </row>
    <row r="9" spans="2:3" x14ac:dyDescent="0.4">
      <c r="B9" s="20" t="s">
        <v>60</v>
      </c>
      <c r="C9" s="19" t="s">
        <v>105</v>
      </c>
    </row>
    <row r="10" spans="2:3" x14ac:dyDescent="0.4">
      <c r="B10" s="20" t="s">
        <v>61</v>
      </c>
      <c r="C10" s="19" t="s">
        <v>91</v>
      </c>
    </row>
    <row r="11" spans="2:3" x14ac:dyDescent="0.4">
      <c r="B11" s="20" t="s">
        <v>62</v>
      </c>
      <c r="C11" s="19" t="s">
        <v>63</v>
      </c>
    </row>
    <row r="12" spans="2:3" x14ac:dyDescent="0.4">
      <c r="B12" s="20" t="s">
        <v>64</v>
      </c>
      <c r="C12" s="19" t="s">
        <v>8</v>
      </c>
    </row>
    <row r="13" spans="2:3" x14ac:dyDescent="0.4">
      <c r="B13" s="20" t="s">
        <v>92</v>
      </c>
      <c r="C13" s="19" t="s">
        <v>93</v>
      </c>
    </row>
    <row r="14" spans="2:3" x14ac:dyDescent="0.4">
      <c r="B14" s="20" t="s">
        <v>102</v>
      </c>
      <c r="C14" s="19" t="s">
        <v>97</v>
      </c>
    </row>
    <row r="15" spans="2:3" x14ac:dyDescent="0.4">
      <c r="B15" s="20" t="s">
        <v>65</v>
      </c>
      <c r="C15" s="19" t="s">
        <v>66</v>
      </c>
    </row>
    <row r="16" spans="2:3" x14ac:dyDescent="0.4">
      <c r="B16" s="20" t="s">
        <v>67</v>
      </c>
      <c r="C16" s="19" t="s">
        <v>106</v>
      </c>
    </row>
    <row r="17" spans="2:3" x14ac:dyDescent="0.4">
      <c r="B17" s="20" t="s">
        <v>94</v>
      </c>
      <c r="C17" s="19" t="s">
        <v>95</v>
      </c>
    </row>
    <row r="18" spans="2:3" x14ac:dyDescent="0.4">
      <c r="B18" s="20" t="s">
        <v>68</v>
      </c>
      <c r="C18" s="19" t="s">
        <v>107</v>
      </c>
    </row>
    <row r="19" spans="2:3" x14ac:dyDescent="0.4">
      <c r="B19" s="20" t="s">
        <v>69</v>
      </c>
      <c r="C19" s="19" t="s">
        <v>70</v>
      </c>
    </row>
    <row r="20" spans="2:3" x14ac:dyDescent="0.4">
      <c r="B20" s="20" t="s">
        <v>108</v>
      </c>
      <c r="C20" s="19" t="s">
        <v>109</v>
      </c>
    </row>
    <row r="21" spans="2:3" x14ac:dyDescent="0.4">
      <c r="B21" s="20" t="s">
        <v>71</v>
      </c>
      <c r="C21" s="19" t="s">
        <v>72</v>
      </c>
    </row>
    <row r="22" spans="2:3" x14ac:dyDescent="0.4">
      <c r="B22" s="20" t="s">
        <v>96</v>
      </c>
      <c r="C22" s="19" t="s">
        <v>103</v>
      </c>
    </row>
  </sheetData>
  <phoneticPr fontId="9" type="noConversion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434"/>
  <sheetViews>
    <sheetView showGridLines="0" workbookViewId="0">
      <pane ySplit="1" topLeftCell="A65" activePane="bottomLeft" state="frozen"/>
      <selection activeCell="B37" sqref="B37"/>
      <selection pane="bottomLeft" activeCell="D141" sqref="D141"/>
    </sheetView>
  </sheetViews>
  <sheetFormatPr defaultColWidth="8.7265625" defaultRowHeight="13" outlineLevelCol="1" x14ac:dyDescent="0.3"/>
  <cols>
    <col min="1" max="1" width="9.1796875" style="39" customWidth="1"/>
    <col min="2" max="2" width="9.1796875" style="106" customWidth="1"/>
    <col min="3" max="3" width="19.453125" style="15" customWidth="1"/>
    <col min="4" max="4" width="19.453125" style="114" customWidth="1"/>
    <col min="5" max="5" width="17.36328125" style="13" customWidth="1" outlineLevel="1"/>
    <col min="6" max="6" width="2.1796875" style="15" customWidth="1"/>
    <col min="7" max="7" width="9.81640625" style="13" customWidth="1"/>
    <col min="8" max="8" width="11.1796875" style="43" bestFit="1" customWidth="1"/>
    <col min="9" max="9" width="16.1796875" style="43" customWidth="1" outlineLevel="1"/>
    <col min="10" max="10" width="10.54296875" style="43" bestFit="1" customWidth="1"/>
    <col min="11" max="11" width="11.36328125" style="43" customWidth="1"/>
    <col min="12" max="12" width="10.08984375" style="43" bestFit="1" customWidth="1"/>
    <col min="13" max="13" width="9.81640625" style="18" customWidth="1"/>
    <col min="14" max="14" width="8.7265625" style="15"/>
    <col min="15" max="15" width="8.7265625" style="16" customWidth="1"/>
    <col min="16" max="16" width="8.7265625" style="15"/>
    <col min="17" max="17" width="8.453125" style="11" customWidth="1"/>
    <col min="18" max="18" width="8.7265625" style="15"/>
    <col min="19" max="19" width="10.08984375" style="15" bestFit="1" customWidth="1"/>
    <col min="20" max="16384" width="8.7265625" style="15"/>
  </cols>
  <sheetData>
    <row r="1" spans="1:25" x14ac:dyDescent="0.3">
      <c r="A1" s="12"/>
      <c r="B1" s="29"/>
      <c r="C1" s="5" t="s">
        <v>41</v>
      </c>
      <c r="D1" s="124"/>
      <c r="E1" s="2"/>
      <c r="G1" s="2" t="s">
        <v>42</v>
      </c>
      <c r="H1" s="41" t="s">
        <v>43</v>
      </c>
      <c r="I1" s="41" t="s">
        <v>494</v>
      </c>
      <c r="J1" s="41" t="s">
        <v>44</v>
      </c>
      <c r="K1" s="41" t="s">
        <v>493</v>
      </c>
      <c r="L1" s="41" t="s">
        <v>45</v>
      </c>
      <c r="M1" s="44" t="s">
        <v>46</v>
      </c>
    </row>
    <row r="2" spans="1:25" x14ac:dyDescent="0.3">
      <c r="A2" s="174"/>
      <c r="B2" s="175"/>
      <c r="C2" s="5"/>
      <c r="D2" s="176"/>
      <c r="E2" s="3" t="s">
        <v>546</v>
      </c>
      <c r="F2"/>
      <c r="G2" s="2"/>
      <c r="H2" s="177"/>
      <c r="I2" s="177"/>
      <c r="J2" s="177"/>
      <c r="K2" s="177"/>
      <c r="L2" s="177"/>
      <c r="M2" s="44"/>
      <c r="N2"/>
      <c r="P2"/>
      <c r="Q2" s="4"/>
      <c r="R2"/>
      <c r="S2"/>
      <c r="T2"/>
      <c r="U2"/>
      <c r="V2"/>
      <c r="W2"/>
      <c r="X2"/>
      <c r="Y2"/>
    </row>
    <row r="3" spans="1:25" x14ac:dyDescent="0.3">
      <c r="A3" s="174"/>
      <c r="B3" s="175"/>
      <c r="C3" s="5"/>
      <c r="D3" s="176"/>
      <c r="E3" s="3"/>
      <c r="F3"/>
      <c r="G3" s="2"/>
      <c r="H3" s="177"/>
      <c r="I3" s="177"/>
      <c r="J3" s="177"/>
      <c r="K3" s="177"/>
      <c r="L3" s="177"/>
      <c r="M3" s="44"/>
      <c r="N3"/>
      <c r="P3"/>
      <c r="Q3" s="4"/>
      <c r="R3"/>
      <c r="S3"/>
      <c r="T3"/>
      <c r="U3"/>
      <c r="V3"/>
      <c r="W3"/>
      <c r="X3"/>
      <c r="Y3"/>
    </row>
    <row r="4" spans="1:25" x14ac:dyDescent="0.3">
      <c r="A4" s="174"/>
      <c r="B4" s="175"/>
      <c r="C4" s="24" t="s">
        <v>76</v>
      </c>
      <c r="D4" s="178"/>
      <c r="E4" s="179"/>
      <c r="F4" s="179"/>
      <c r="G4" s="1"/>
      <c r="H4" s="4"/>
      <c r="I4" s="1"/>
      <c r="J4" s="125"/>
      <c r="K4" s="125"/>
      <c r="L4" s="125"/>
      <c r="M4" s="125"/>
      <c r="N4" s="18"/>
      <c r="P4"/>
      <c r="Q4" s="4"/>
      <c r="R4"/>
      <c r="S4"/>
      <c r="T4"/>
      <c r="U4"/>
      <c r="V4"/>
      <c r="W4"/>
      <c r="X4"/>
      <c r="Y4"/>
    </row>
    <row r="5" spans="1:25" x14ac:dyDescent="0.3">
      <c r="A5" s="174"/>
      <c r="B5" s="175"/>
      <c r="C5" s="3"/>
      <c r="D5" s="180"/>
      <c r="E5" s="179" t="s">
        <v>543</v>
      </c>
      <c r="F5" s="179"/>
      <c r="G5" s="1"/>
      <c r="H5" s="4"/>
      <c r="I5" s="1"/>
      <c r="J5" s="125"/>
      <c r="K5" s="125"/>
      <c r="L5" s="125"/>
      <c r="M5" s="125">
        <v>16951.71</v>
      </c>
      <c r="N5" s="18"/>
      <c r="P5"/>
      <c r="Q5" s="4"/>
      <c r="R5"/>
      <c r="S5"/>
      <c r="T5"/>
      <c r="U5"/>
      <c r="V5"/>
      <c r="W5"/>
      <c r="X5"/>
      <c r="Y5"/>
    </row>
    <row r="6" spans="1:25" x14ac:dyDescent="0.3">
      <c r="A6" s="174"/>
      <c r="B6" s="175"/>
      <c r="C6" s="3"/>
      <c r="D6" s="180"/>
      <c r="E6" s="179"/>
      <c r="F6" s="179"/>
      <c r="G6" s="1"/>
      <c r="H6" s="4"/>
      <c r="I6" s="1"/>
      <c r="J6" s="125"/>
      <c r="K6" s="125"/>
      <c r="L6" s="125"/>
      <c r="M6" s="125"/>
      <c r="N6" s="18"/>
      <c r="P6"/>
      <c r="Q6" s="4"/>
      <c r="R6"/>
      <c r="S6"/>
      <c r="T6"/>
      <c r="U6"/>
      <c r="V6"/>
      <c r="W6"/>
      <c r="X6"/>
      <c r="Y6"/>
    </row>
    <row r="7" spans="1:25" x14ac:dyDescent="0.3">
      <c r="A7" s="174"/>
      <c r="B7" s="175"/>
      <c r="C7" s="3"/>
      <c r="D7" s="180"/>
      <c r="E7" s="179"/>
      <c r="F7" s="179"/>
      <c r="G7" s="1"/>
      <c r="H7" s="4"/>
      <c r="I7" s="1"/>
      <c r="J7" s="125"/>
      <c r="K7" s="125"/>
      <c r="L7" s="125"/>
      <c r="M7" s="125"/>
      <c r="N7" s="18"/>
      <c r="P7"/>
      <c r="Q7" s="4"/>
      <c r="R7"/>
      <c r="S7"/>
      <c r="T7"/>
      <c r="U7"/>
      <c r="V7"/>
      <c r="W7"/>
      <c r="X7"/>
      <c r="Y7"/>
    </row>
    <row r="8" spans="1:25" x14ac:dyDescent="0.3">
      <c r="A8" s="174"/>
      <c r="B8" s="175"/>
      <c r="C8" s="3"/>
      <c r="D8" s="180"/>
      <c r="E8" s="179" t="s">
        <v>539</v>
      </c>
      <c r="F8" s="179"/>
      <c r="G8" s="1"/>
      <c r="H8" s="4"/>
      <c r="I8" s="1"/>
      <c r="J8" s="125">
        <v>500167</v>
      </c>
      <c r="K8" s="125">
        <v>-50</v>
      </c>
      <c r="L8" s="125"/>
      <c r="M8" s="125"/>
      <c r="N8" s="18" t="s">
        <v>90</v>
      </c>
      <c r="P8"/>
      <c r="Q8" s="4"/>
      <c r="R8"/>
      <c r="S8"/>
      <c r="T8"/>
      <c r="U8"/>
      <c r="V8"/>
      <c r="W8"/>
      <c r="X8"/>
      <c r="Y8"/>
    </row>
    <row r="9" spans="1:25" x14ac:dyDescent="0.3">
      <c r="A9" s="174"/>
      <c r="B9" s="175"/>
      <c r="C9" s="3"/>
      <c r="D9" s="180"/>
      <c r="E9" s="181"/>
      <c r="F9" s="181"/>
      <c r="G9" s="1"/>
      <c r="H9" s="4"/>
      <c r="I9" s="1"/>
      <c r="J9" s="125">
        <v>500125</v>
      </c>
      <c r="K9" s="125">
        <v>-20</v>
      </c>
      <c r="L9" s="125"/>
      <c r="M9" s="125"/>
      <c r="N9" s="18"/>
      <c r="P9"/>
      <c r="Q9" s="4"/>
      <c r="R9"/>
      <c r="S9"/>
      <c r="T9"/>
      <c r="U9"/>
      <c r="V9"/>
      <c r="W9"/>
      <c r="X9"/>
      <c r="Y9"/>
    </row>
    <row r="10" spans="1:25" x14ac:dyDescent="0.3">
      <c r="A10" s="174"/>
      <c r="B10" s="175"/>
      <c r="C10" s="3"/>
      <c r="D10" s="180"/>
      <c r="E10" s="179"/>
      <c r="F10" s="179"/>
      <c r="G10" s="1"/>
      <c r="H10" s="4"/>
      <c r="I10" s="1"/>
      <c r="J10" s="125">
        <v>500126</v>
      </c>
      <c r="K10" s="125">
        <v>-3.99</v>
      </c>
      <c r="L10" s="125"/>
      <c r="M10" s="125"/>
      <c r="N10" s="64" t="s">
        <v>90</v>
      </c>
      <c r="P10"/>
      <c r="Q10" s="4"/>
      <c r="R10"/>
      <c r="S10"/>
      <c r="T10"/>
      <c r="U10"/>
      <c r="V10"/>
      <c r="W10"/>
      <c r="X10"/>
      <c r="Y10"/>
    </row>
    <row r="11" spans="1:25" x14ac:dyDescent="0.3">
      <c r="A11" s="174"/>
      <c r="B11" s="175"/>
      <c r="C11" s="3"/>
      <c r="D11" s="180"/>
      <c r="E11" s="179"/>
      <c r="F11" s="179"/>
      <c r="G11" s="1"/>
      <c r="H11" s="4"/>
      <c r="I11" s="1"/>
      <c r="J11" s="125">
        <v>500169</v>
      </c>
      <c r="K11" s="125">
        <v>-50</v>
      </c>
      <c r="L11" s="125"/>
      <c r="M11" s="125"/>
      <c r="N11" s="18" t="s">
        <v>90</v>
      </c>
      <c r="P11"/>
      <c r="Q11" s="4"/>
      <c r="R11"/>
      <c r="S11"/>
      <c r="T11"/>
      <c r="U11"/>
      <c r="V11"/>
      <c r="W11"/>
      <c r="X11"/>
      <c r="Y11"/>
    </row>
    <row r="12" spans="1:25" x14ac:dyDescent="0.3">
      <c r="A12" s="174"/>
      <c r="B12" s="175"/>
      <c r="C12" s="3"/>
      <c r="D12" s="180"/>
      <c r="E12" s="179"/>
      <c r="F12" s="179"/>
      <c r="G12" s="1"/>
      <c r="H12" s="4"/>
      <c r="I12" s="1"/>
      <c r="J12" s="125">
        <v>500170</v>
      </c>
      <c r="K12" s="125">
        <v>-50</v>
      </c>
      <c r="L12" s="125"/>
      <c r="M12" s="125">
        <v>-173.99</v>
      </c>
      <c r="N12" s="18" t="s">
        <v>90</v>
      </c>
      <c r="P12"/>
      <c r="Q12" s="4"/>
      <c r="R12"/>
      <c r="S12"/>
      <c r="T12"/>
      <c r="U12"/>
      <c r="V12"/>
      <c r="W12"/>
      <c r="X12"/>
      <c r="Y12"/>
    </row>
    <row r="13" spans="1:25" x14ac:dyDescent="0.3">
      <c r="A13" s="174"/>
      <c r="B13" s="175"/>
      <c r="C13" s="3"/>
      <c r="D13" s="180"/>
      <c r="E13" s="179"/>
      <c r="F13" s="179"/>
      <c r="G13" s="1"/>
      <c r="H13" s="4"/>
      <c r="I13" s="1"/>
      <c r="J13" s="125"/>
      <c r="K13" s="125"/>
      <c r="L13" s="125"/>
      <c r="M13" s="125"/>
      <c r="N13" s="18"/>
      <c r="P13"/>
      <c r="Q13" s="4"/>
      <c r="R13"/>
      <c r="S13"/>
      <c r="T13"/>
      <c r="U13"/>
      <c r="V13"/>
      <c r="W13"/>
      <c r="X13"/>
      <c r="Y13"/>
    </row>
    <row r="14" spans="1:25" x14ac:dyDescent="0.3">
      <c r="A14" s="174"/>
      <c r="B14" s="175"/>
      <c r="C14" s="3"/>
      <c r="D14" s="180"/>
      <c r="E14" s="179" t="s">
        <v>545</v>
      </c>
      <c r="F14" s="179"/>
      <c r="G14" s="1"/>
      <c r="H14" s="4"/>
      <c r="I14" s="1"/>
      <c r="J14" s="125"/>
      <c r="K14" s="125"/>
      <c r="L14" s="125"/>
      <c r="M14" s="125"/>
      <c r="N14" s="18"/>
      <c r="P14"/>
      <c r="Q14" s="4"/>
      <c r="R14"/>
      <c r="S14"/>
      <c r="T14"/>
      <c r="U14"/>
      <c r="V14"/>
      <c r="W14"/>
      <c r="X14"/>
      <c r="Y14"/>
    </row>
    <row r="15" spans="1:25" x14ac:dyDescent="0.3">
      <c r="A15" s="174"/>
      <c r="B15" s="175"/>
      <c r="C15" s="3"/>
      <c r="D15" s="180"/>
      <c r="E15" s="179" t="s">
        <v>540</v>
      </c>
      <c r="F15" s="179"/>
      <c r="G15" s="1"/>
      <c r="H15" s="4"/>
      <c r="I15" s="1"/>
      <c r="J15" s="125"/>
      <c r="K15" s="125"/>
      <c r="L15" s="125"/>
      <c r="M15" s="125">
        <v>-263.2</v>
      </c>
      <c r="N15" s="18" t="s">
        <v>572</v>
      </c>
      <c r="P15"/>
      <c r="Q15" s="4"/>
      <c r="R15"/>
      <c r="S15"/>
      <c r="T15"/>
      <c r="U15"/>
      <c r="V15"/>
      <c r="W15"/>
      <c r="X15"/>
      <c r="Y15"/>
    </row>
    <row r="16" spans="1:25" x14ac:dyDescent="0.3">
      <c r="A16" s="174"/>
      <c r="B16" s="175"/>
      <c r="C16" s="3"/>
      <c r="D16" s="180"/>
      <c r="E16" s="179" t="s">
        <v>541</v>
      </c>
      <c r="F16" s="179"/>
      <c r="G16" s="1"/>
      <c r="H16" s="4"/>
      <c r="I16" s="1"/>
      <c r="J16" s="125"/>
      <c r="K16" s="125"/>
      <c r="L16" s="125"/>
      <c r="M16" s="125">
        <v>-641</v>
      </c>
      <c r="N16" s="18" t="s">
        <v>572</v>
      </c>
      <c r="P16"/>
      <c r="Q16" s="4"/>
      <c r="R16"/>
      <c r="S16"/>
      <c r="T16"/>
      <c r="U16"/>
      <c r="V16"/>
      <c r="W16"/>
      <c r="X16"/>
      <c r="Y16"/>
    </row>
    <row r="17" spans="1:25" x14ac:dyDescent="0.3">
      <c r="A17" s="174"/>
      <c r="B17" s="175"/>
      <c r="C17" s="3"/>
      <c r="D17" s="180"/>
      <c r="E17" s="179"/>
      <c r="F17" s="179"/>
      <c r="G17" s="1"/>
      <c r="H17" s="4"/>
      <c r="I17" s="1"/>
      <c r="J17" s="125"/>
      <c r="K17" s="125"/>
      <c r="L17" s="125"/>
      <c r="M17" s="125"/>
      <c r="N17" s="18"/>
      <c r="P17"/>
      <c r="Q17" s="4"/>
      <c r="R17"/>
      <c r="S17"/>
      <c r="T17"/>
      <c r="U17"/>
      <c r="V17"/>
      <c r="W17"/>
      <c r="X17"/>
      <c r="Y17"/>
    </row>
    <row r="18" spans="1:25" ht="13.5" thickBot="1" x14ac:dyDescent="0.35">
      <c r="A18" s="174"/>
      <c r="B18" s="175"/>
      <c r="C18" s="3"/>
      <c r="D18" s="180"/>
      <c r="E18" s="179"/>
      <c r="F18" s="179"/>
      <c r="G18" s="1"/>
      <c r="H18" s="4"/>
      <c r="I18" s="1"/>
      <c r="J18" s="125"/>
      <c r="K18" s="125"/>
      <c r="L18" s="125"/>
      <c r="M18" s="125"/>
      <c r="N18" s="18"/>
      <c r="P18"/>
      <c r="Q18" s="4"/>
      <c r="R18"/>
      <c r="S18"/>
      <c r="T18"/>
      <c r="U18"/>
      <c r="V18"/>
      <c r="W18"/>
      <c r="X18"/>
      <c r="Y18"/>
    </row>
    <row r="19" spans="1:25" ht="13.5" thickBot="1" x14ac:dyDescent="0.35">
      <c r="A19" s="174"/>
      <c r="B19" s="175"/>
      <c r="C19" s="3"/>
      <c r="D19" s="180"/>
      <c r="E19" s="179" t="s">
        <v>542</v>
      </c>
      <c r="F19" s="179"/>
      <c r="G19" s="1"/>
      <c r="H19" s="4"/>
      <c r="I19" s="1"/>
      <c r="J19" s="125"/>
      <c r="K19" s="125"/>
      <c r="L19" s="125"/>
      <c r="M19" s="126">
        <v>15873.52</v>
      </c>
      <c r="N19" s="18"/>
      <c r="P19"/>
      <c r="Q19" s="4"/>
      <c r="R19"/>
      <c r="S19"/>
      <c r="T19"/>
      <c r="U19"/>
      <c r="V19"/>
      <c r="W19"/>
      <c r="X19"/>
      <c r="Y19"/>
    </row>
    <row r="20" spans="1:25" ht="13.5" thickTop="1" x14ac:dyDescent="0.3">
      <c r="A20" s="174"/>
      <c r="B20" s="175"/>
      <c r="C20" s="3"/>
      <c r="D20" s="180"/>
      <c r="E20" s="179"/>
      <c r="F20" s="179"/>
      <c r="G20" s="1"/>
      <c r="H20" s="4"/>
      <c r="I20" s="1"/>
      <c r="J20" s="125"/>
      <c r="K20" s="125"/>
      <c r="L20" s="125"/>
      <c r="M20" s="125"/>
      <c r="N20" s="18"/>
      <c r="P20"/>
      <c r="Q20" s="4"/>
      <c r="R20"/>
      <c r="S20"/>
      <c r="T20"/>
      <c r="U20"/>
      <c r="V20"/>
      <c r="W20"/>
      <c r="X20"/>
      <c r="Y20"/>
    </row>
    <row r="21" spans="1:25" x14ac:dyDescent="0.3">
      <c r="A21" s="174"/>
      <c r="B21" s="175"/>
      <c r="C21" s="3"/>
      <c r="D21" s="180"/>
      <c r="E21" s="179"/>
      <c r="F21" s="179"/>
      <c r="G21" s="1"/>
      <c r="H21" s="4"/>
      <c r="I21" s="1"/>
      <c r="J21" s="125"/>
      <c r="K21" s="125"/>
      <c r="L21" s="125"/>
      <c r="M21" s="125"/>
      <c r="N21" s="18"/>
      <c r="P21"/>
      <c r="Q21" s="4"/>
      <c r="R21"/>
      <c r="S21"/>
      <c r="T21"/>
      <c r="U21"/>
      <c r="V21"/>
      <c r="W21"/>
      <c r="X21"/>
      <c r="Y21"/>
    </row>
    <row r="22" spans="1:25" x14ac:dyDescent="0.3">
      <c r="A22" s="174"/>
      <c r="B22" s="175"/>
      <c r="C22" s="5"/>
      <c r="D22" s="176" t="s">
        <v>671</v>
      </c>
      <c r="E22" s="3"/>
      <c r="F22"/>
      <c r="G22" s="2"/>
      <c r="H22" s="177">
        <v>280</v>
      </c>
      <c r="I22" s="177"/>
      <c r="J22" s="177"/>
      <c r="K22" s="177"/>
      <c r="L22" s="177"/>
      <c r="M22" s="44"/>
      <c r="N22"/>
      <c r="P22"/>
      <c r="Q22" s="4"/>
      <c r="R22"/>
      <c r="S22"/>
      <c r="T22"/>
      <c r="U22"/>
      <c r="V22"/>
      <c r="W22"/>
      <c r="X22"/>
      <c r="Y22"/>
    </row>
    <row r="23" spans="1:25" x14ac:dyDescent="0.3">
      <c r="A23" s="174"/>
      <c r="B23" s="175"/>
      <c r="C23" s="5"/>
      <c r="D23" s="176"/>
      <c r="E23" s="3"/>
      <c r="F23"/>
      <c r="G23" s="2"/>
      <c r="H23" s="177"/>
      <c r="I23" s="177"/>
      <c r="J23" s="177"/>
      <c r="K23" s="177"/>
      <c r="L23" s="177"/>
      <c r="M23" s="44"/>
      <c r="N23"/>
      <c r="P23"/>
      <c r="Q23" s="4"/>
      <c r="R23"/>
      <c r="S23"/>
      <c r="T23"/>
      <c r="U23"/>
      <c r="V23"/>
      <c r="W23"/>
      <c r="X23"/>
      <c r="Y23"/>
    </row>
    <row r="24" spans="1:25" x14ac:dyDescent="0.3">
      <c r="A24" s="3"/>
      <c r="B24" s="180"/>
      <c r="C24" s="5"/>
      <c r="D24" s="176"/>
      <c r="E24" s="2"/>
      <c r="F24"/>
      <c r="G24" s="2"/>
      <c r="H24" s="177"/>
      <c r="I24" s="177"/>
      <c r="J24" s="177"/>
      <c r="K24" s="177"/>
      <c r="L24" s="177"/>
      <c r="M24" s="44"/>
      <c r="N24"/>
      <c r="P24"/>
      <c r="Q24" s="4"/>
      <c r="R24"/>
      <c r="S24"/>
      <c r="T24"/>
      <c r="U24"/>
      <c r="V24"/>
      <c r="W24"/>
      <c r="X24"/>
      <c r="Y24"/>
    </row>
    <row r="25" spans="1:25" x14ac:dyDescent="0.3">
      <c r="A25" s="28"/>
      <c r="B25" s="180"/>
      <c r="C25" s="5" t="s">
        <v>112</v>
      </c>
      <c r="D25" s="176"/>
      <c r="E25" s="183"/>
      <c r="F25"/>
      <c r="G25" s="2"/>
      <c r="H25" s="177"/>
      <c r="I25" s="177"/>
      <c r="J25" s="177"/>
      <c r="K25" s="177"/>
      <c r="L25" s="177"/>
      <c r="M25" s="44"/>
      <c r="N25"/>
      <c r="P25"/>
      <c r="Q25" s="4"/>
      <c r="R25"/>
      <c r="S25"/>
      <c r="T25"/>
      <c r="U25"/>
      <c r="V25"/>
      <c r="W25"/>
      <c r="X25"/>
      <c r="Y25"/>
    </row>
    <row r="26" spans="1:25" x14ac:dyDescent="0.3">
      <c r="A26" s="28"/>
      <c r="B26" s="180"/>
      <c r="C26" s="5" t="s">
        <v>113</v>
      </c>
      <c r="D26" s="176"/>
      <c r="E26" s="184"/>
      <c r="F26"/>
      <c r="G26" s="2"/>
      <c r="H26" s="177"/>
      <c r="I26" s="177"/>
      <c r="J26" s="177"/>
      <c r="K26" s="185" t="s">
        <v>919</v>
      </c>
      <c r="L26" s="186">
        <f>+M19</f>
        <v>15873.52</v>
      </c>
      <c r="M26" s="44"/>
      <c r="N26"/>
      <c r="P26"/>
      <c r="Q26" s="4"/>
      <c r="R26"/>
      <c r="S26"/>
      <c r="T26"/>
      <c r="U26"/>
      <c r="V26"/>
      <c r="W26"/>
      <c r="X26"/>
      <c r="Y26"/>
    </row>
    <row r="27" spans="1:25" x14ac:dyDescent="0.3">
      <c r="A27" s="3"/>
      <c r="B27" s="180"/>
      <c r="C27" s="4"/>
      <c r="D27" s="179"/>
      <c r="E27" s="1"/>
      <c r="F27" s="4"/>
      <c r="G27" s="1"/>
      <c r="H27" s="125"/>
      <c r="I27" s="125"/>
      <c r="J27" s="125"/>
      <c r="K27" s="125"/>
      <c r="L27" s="125"/>
      <c r="N27"/>
      <c r="P27"/>
      <c r="Q27" s="4"/>
      <c r="R27"/>
      <c r="S27"/>
      <c r="T27"/>
      <c r="U27"/>
      <c r="V27"/>
      <c r="W27"/>
      <c r="X27"/>
      <c r="Y27"/>
    </row>
    <row r="28" spans="1:25" s="23" customFormat="1" x14ac:dyDescent="0.3">
      <c r="A28" s="28" t="s">
        <v>495</v>
      </c>
      <c r="B28" s="188" t="s">
        <v>496</v>
      </c>
      <c r="C28" s="74" t="s">
        <v>497</v>
      </c>
      <c r="D28" s="189" t="s">
        <v>498</v>
      </c>
      <c r="E28" s="22"/>
      <c r="F28" s="74"/>
      <c r="G28" s="22"/>
      <c r="H28" s="186" t="s">
        <v>920</v>
      </c>
      <c r="I28" s="186" t="s">
        <v>921</v>
      </c>
      <c r="J28" s="186" t="s">
        <v>922</v>
      </c>
      <c r="K28" s="186" t="s">
        <v>923</v>
      </c>
      <c r="L28" s="186"/>
      <c r="M28" s="76"/>
      <c r="O28" s="77"/>
      <c r="Q28" s="74"/>
    </row>
    <row r="29" spans="1:25" x14ac:dyDescent="0.3">
      <c r="A29" s="3"/>
      <c r="B29" s="187" t="s">
        <v>482</v>
      </c>
      <c r="C29" s="4" t="s">
        <v>129</v>
      </c>
      <c r="D29" s="133" t="s">
        <v>513</v>
      </c>
      <c r="E29" s="1" t="s">
        <v>530</v>
      </c>
      <c r="F29" s="4"/>
      <c r="G29" s="1"/>
      <c r="H29" s="190">
        <v>641</v>
      </c>
      <c r="I29" s="125"/>
      <c r="J29" s="125"/>
      <c r="K29" s="125">
        <v>641</v>
      </c>
      <c r="L29" s="125">
        <f>+L26+K29</f>
        <v>16514.52</v>
      </c>
      <c r="M29" s="18" t="s">
        <v>572</v>
      </c>
      <c r="N29" s="18"/>
      <c r="P29"/>
      <c r="Q29" s="4"/>
      <c r="R29"/>
      <c r="S29"/>
      <c r="T29"/>
      <c r="U29"/>
      <c r="V29"/>
      <c r="W29"/>
      <c r="X29"/>
      <c r="Y29"/>
    </row>
    <row r="30" spans="1:25" x14ac:dyDescent="0.3">
      <c r="A30" s="3"/>
      <c r="B30" s="187" t="s">
        <v>482</v>
      </c>
      <c r="C30" s="4" t="s">
        <v>528</v>
      </c>
      <c r="D30" s="133" t="s">
        <v>513</v>
      </c>
      <c r="E30" s="1" t="s">
        <v>531</v>
      </c>
      <c r="F30" s="4"/>
      <c r="G30" s="1"/>
      <c r="H30" s="190">
        <v>263.2</v>
      </c>
      <c r="I30" s="125"/>
      <c r="J30" s="125"/>
      <c r="K30" s="125">
        <v>263.2</v>
      </c>
      <c r="L30" s="125">
        <f>+L29+K30</f>
        <v>16777.72</v>
      </c>
      <c r="M30" s="16" t="s">
        <v>572</v>
      </c>
      <c r="N30"/>
      <c r="P30"/>
      <c r="Q30" s="4"/>
      <c r="R30"/>
      <c r="S30"/>
      <c r="T30"/>
      <c r="U30"/>
      <c r="V30"/>
      <c r="W30"/>
      <c r="X30"/>
      <c r="Y30"/>
    </row>
    <row r="31" spans="1:25" x14ac:dyDescent="0.3">
      <c r="A31" s="3"/>
      <c r="B31" s="187" t="s">
        <v>482</v>
      </c>
      <c r="C31" s="4" t="s">
        <v>529</v>
      </c>
      <c r="D31" s="133" t="s">
        <v>513</v>
      </c>
      <c r="E31" s="1" t="s">
        <v>532</v>
      </c>
      <c r="F31" s="4"/>
      <c r="G31" s="1"/>
      <c r="H31" s="190">
        <v>1496</v>
      </c>
      <c r="I31" s="125"/>
      <c r="J31" s="125"/>
      <c r="K31" s="125">
        <v>1496</v>
      </c>
      <c r="L31" s="125">
        <f t="shared" ref="L31:L94" si="0">+L30+K31</f>
        <v>18273.72</v>
      </c>
      <c r="M31" s="18" t="s">
        <v>90</v>
      </c>
      <c r="N31"/>
      <c r="P31"/>
      <c r="Q31" s="4"/>
      <c r="R31"/>
      <c r="S31"/>
      <c r="T31"/>
      <c r="U31"/>
      <c r="V31"/>
      <c r="W31"/>
      <c r="X31"/>
      <c r="Y31"/>
    </row>
    <row r="32" spans="1:25" x14ac:dyDescent="0.3">
      <c r="A32" s="3"/>
      <c r="B32" s="187" t="s">
        <v>482</v>
      </c>
      <c r="C32" s="4" t="s">
        <v>533</v>
      </c>
      <c r="D32" s="133" t="s">
        <v>12</v>
      </c>
      <c r="E32" s="1" t="s">
        <v>554</v>
      </c>
      <c r="F32" s="4"/>
      <c r="G32" s="1"/>
      <c r="H32" s="125"/>
      <c r="I32" s="125"/>
      <c r="J32" s="125">
        <v>-288.39999999999998</v>
      </c>
      <c r="K32" s="125">
        <v>-288.39999999999998</v>
      </c>
      <c r="L32" s="125">
        <f t="shared" si="0"/>
        <v>17985.32</v>
      </c>
      <c r="M32" s="18" t="s">
        <v>90</v>
      </c>
      <c r="N32"/>
      <c r="P32"/>
      <c r="Q32" s="4"/>
      <c r="R32"/>
      <c r="S32"/>
      <c r="T32"/>
      <c r="U32"/>
      <c r="V32"/>
      <c r="W32"/>
      <c r="X32"/>
      <c r="Y32"/>
    </row>
    <row r="33" spans="1:25" x14ac:dyDescent="0.3">
      <c r="A33" s="3"/>
      <c r="B33" s="187" t="s">
        <v>482</v>
      </c>
      <c r="C33" s="4" t="s">
        <v>547</v>
      </c>
      <c r="D33" s="133" t="s">
        <v>513</v>
      </c>
      <c r="E33" s="1" t="s">
        <v>548</v>
      </c>
      <c r="F33" s="4"/>
      <c r="G33" s="1"/>
      <c r="H33" s="190">
        <v>108</v>
      </c>
      <c r="I33" s="125"/>
      <c r="J33" s="125"/>
      <c r="K33" s="125">
        <v>108</v>
      </c>
      <c r="L33" s="125">
        <f t="shared" si="0"/>
        <v>18093.32</v>
      </c>
      <c r="M33" s="18" t="s">
        <v>90</v>
      </c>
      <c r="N33"/>
      <c r="P33"/>
      <c r="Q33" s="4"/>
      <c r="R33"/>
      <c r="S33"/>
      <c r="T33"/>
      <c r="U33"/>
      <c r="V33"/>
      <c r="W33"/>
      <c r="X33"/>
      <c r="Y33"/>
    </row>
    <row r="34" spans="1:25" x14ac:dyDescent="0.3">
      <c r="A34" s="3"/>
      <c r="B34" s="187" t="s">
        <v>482</v>
      </c>
      <c r="C34" s="4" t="s">
        <v>452</v>
      </c>
      <c r="D34" s="133" t="s">
        <v>513</v>
      </c>
      <c r="E34" s="1" t="s">
        <v>549</v>
      </c>
      <c r="F34" s="4"/>
      <c r="G34" s="1"/>
      <c r="H34" s="190">
        <v>90.5</v>
      </c>
      <c r="I34" s="125"/>
      <c r="J34" s="125"/>
      <c r="K34" s="125">
        <v>90.5</v>
      </c>
      <c r="L34" s="125">
        <f t="shared" si="0"/>
        <v>18183.82</v>
      </c>
      <c r="M34" s="18" t="s">
        <v>90</v>
      </c>
      <c r="N34"/>
      <c r="P34"/>
      <c r="Q34" s="4"/>
      <c r="R34"/>
      <c r="S34"/>
      <c r="T34"/>
      <c r="U34"/>
      <c r="V34"/>
      <c r="W34"/>
      <c r="X34"/>
      <c r="Y34"/>
    </row>
    <row r="35" spans="1:25" x14ac:dyDescent="0.3">
      <c r="A35" s="3"/>
      <c r="B35" s="187" t="s">
        <v>482</v>
      </c>
      <c r="C35" s="4" t="s">
        <v>550</v>
      </c>
      <c r="D35" s="133" t="s">
        <v>513</v>
      </c>
      <c r="E35" s="1" t="s">
        <v>551</v>
      </c>
      <c r="F35" s="4"/>
      <c r="G35" s="1"/>
      <c r="H35" s="190">
        <v>56</v>
      </c>
      <c r="I35" s="125"/>
      <c r="J35" s="125"/>
      <c r="K35" s="125">
        <v>56</v>
      </c>
      <c r="L35" s="125">
        <f t="shared" si="0"/>
        <v>18239.82</v>
      </c>
      <c r="M35" s="18" t="s">
        <v>90</v>
      </c>
      <c r="N35"/>
      <c r="P35"/>
      <c r="Q35" s="4"/>
      <c r="R35"/>
      <c r="S35"/>
      <c r="T35"/>
      <c r="U35"/>
      <c r="V35"/>
      <c r="W35"/>
      <c r="X35"/>
      <c r="Y35"/>
    </row>
    <row r="36" spans="1:25" x14ac:dyDescent="0.3">
      <c r="A36" s="3"/>
      <c r="B36" s="187" t="s">
        <v>482</v>
      </c>
      <c r="C36" s="4" t="s">
        <v>58</v>
      </c>
      <c r="D36" s="133" t="s">
        <v>8</v>
      </c>
      <c r="E36" s="1" t="s">
        <v>553</v>
      </c>
      <c r="F36" s="4"/>
      <c r="G36" s="1"/>
      <c r="H36" s="125"/>
      <c r="I36" s="125"/>
      <c r="J36" s="125">
        <v>-756.66</v>
      </c>
      <c r="K36" s="125">
        <v>-756.66</v>
      </c>
      <c r="L36" s="125">
        <f t="shared" si="0"/>
        <v>17483.16</v>
      </c>
      <c r="M36" s="18" t="s">
        <v>90</v>
      </c>
      <c r="N36"/>
      <c r="P36"/>
      <c r="Q36" s="4"/>
      <c r="R36"/>
      <c r="S36"/>
      <c r="T36"/>
      <c r="U36"/>
      <c r="V36"/>
      <c r="W36"/>
      <c r="X36"/>
      <c r="Y36"/>
    </row>
    <row r="37" spans="1:25" x14ac:dyDescent="0.3">
      <c r="A37" s="3"/>
      <c r="B37" s="187" t="s">
        <v>482</v>
      </c>
      <c r="C37" s="4" t="s">
        <v>475</v>
      </c>
      <c r="D37" s="133" t="s">
        <v>513</v>
      </c>
      <c r="E37" s="1" t="s">
        <v>552</v>
      </c>
      <c r="F37" s="4"/>
      <c r="G37" s="1"/>
      <c r="H37" s="190">
        <v>952</v>
      </c>
      <c r="I37" s="125"/>
      <c r="J37" s="125"/>
      <c r="K37" s="125">
        <v>952</v>
      </c>
      <c r="L37" s="125">
        <f t="shared" si="0"/>
        <v>18435.16</v>
      </c>
      <c r="M37" s="18" t="s">
        <v>90</v>
      </c>
      <c r="N37"/>
      <c r="P37"/>
      <c r="Q37" s="4"/>
      <c r="R37"/>
      <c r="S37"/>
      <c r="T37"/>
      <c r="U37"/>
      <c r="V37"/>
      <c r="W37"/>
      <c r="X37"/>
      <c r="Y37"/>
    </row>
    <row r="38" spans="1:25" x14ac:dyDescent="0.3">
      <c r="A38" s="3"/>
      <c r="B38" s="187" t="s">
        <v>482</v>
      </c>
      <c r="C38" s="4" t="s">
        <v>166</v>
      </c>
      <c r="D38" s="133" t="s">
        <v>513</v>
      </c>
      <c r="E38" s="1" t="s">
        <v>555</v>
      </c>
      <c r="F38" s="4"/>
      <c r="G38" s="1"/>
      <c r="H38" s="190">
        <v>255</v>
      </c>
      <c r="I38" s="125"/>
      <c r="J38" s="125"/>
      <c r="K38" s="125">
        <v>255</v>
      </c>
      <c r="L38" s="125">
        <f t="shared" si="0"/>
        <v>18690.16</v>
      </c>
      <c r="M38" s="18" t="s">
        <v>90</v>
      </c>
      <c r="N38"/>
      <c r="P38"/>
      <c r="Q38" s="4"/>
      <c r="R38"/>
      <c r="S38"/>
      <c r="T38"/>
      <c r="U38"/>
      <c r="V38"/>
      <c r="W38"/>
      <c r="X38"/>
      <c r="Y38"/>
    </row>
    <row r="39" spans="1:25" x14ac:dyDescent="0.3">
      <c r="A39" s="3"/>
      <c r="B39" s="187" t="s">
        <v>482</v>
      </c>
      <c r="C39" s="4" t="s">
        <v>174</v>
      </c>
      <c r="D39" s="133" t="s">
        <v>513</v>
      </c>
      <c r="E39" s="1" t="s">
        <v>556</v>
      </c>
      <c r="F39" s="4"/>
      <c r="G39" s="1"/>
      <c r="H39" s="190">
        <v>2856</v>
      </c>
      <c r="I39" s="125"/>
      <c r="J39" s="125"/>
      <c r="K39" s="125">
        <v>2856</v>
      </c>
      <c r="L39" s="125">
        <f t="shared" si="0"/>
        <v>21546.16</v>
      </c>
      <c r="M39" s="18" t="s">
        <v>90</v>
      </c>
      <c r="N39"/>
      <c r="P39"/>
      <c r="Q39" s="4"/>
      <c r="R39"/>
      <c r="S39"/>
      <c r="T39"/>
      <c r="U39"/>
      <c r="V39"/>
      <c r="W39"/>
      <c r="X39"/>
      <c r="Y39"/>
    </row>
    <row r="40" spans="1:25" x14ac:dyDescent="0.3">
      <c r="A40" s="3"/>
      <c r="B40" s="187" t="s">
        <v>482</v>
      </c>
      <c r="C40" s="4" t="s">
        <v>566</v>
      </c>
      <c r="D40" s="133" t="s">
        <v>512</v>
      </c>
      <c r="E40" s="1" t="s">
        <v>557</v>
      </c>
      <c r="F40" s="4"/>
      <c r="G40" s="1"/>
      <c r="H40" s="125">
        <v>48</v>
      </c>
      <c r="I40" s="125"/>
      <c r="J40" s="125"/>
      <c r="K40" s="125">
        <v>48</v>
      </c>
      <c r="L40" s="125">
        <f t="shared" si="0"/>
        <v>21594.16</v>
      </c>
      <c r="M40" s="18" t="s">
        <v>534</v>
      </c>
      <c r="N40"/>
      <c r="P40"/>
      <c r="Q40" s="4"/>
      <c r="R40"/>
      <c r="S40"/>
      <c r="T40"/>
      <c r="U40"/>
      <c r="V40"/>
      <c r="W40"/>
      <c r="X40"/>
      <c r="Y40"/>
    </row>
    <row r="41" spans="1:25" x14ac:dyDescent="0.3">
      <c r="A41" s="3"/>
      <c r="B41" s="187" t="s">
        <v>482</v>
      </c>
      <c r="C41" s="4" t="s">
        <v>565</v>
      </c>
      <c r="D41" s="133" t="s">
        <v>622</v>
      </c>
      <c r="E41" s="1" t="s">
        <v>558</v>
      </c>
      <c r="F41" s="4"/>
      <c r="G41" s="1"/>
      <c r="H41" s="125">
        <v>30</v>
      </c>
      <c r="I41" s="125"/>
      <c r="J41" s="125"/>
      <c r="K41" s="125">
        <v>30</v>
      </c>
      <c r="L41" s="125">
        <f t="shared" si="0"/>
        <v>21624.16</v>
      </c>
      <c r="M41" s="18" t="s">
        <v>534</v>
      </c>
      <c r="N41"/>
      <c r="P41"/>
      <c r="Q41" s="4"/>
      <c r="R41"/>
      <c r="S41"/>
      <c r="T41"/>
      <c r="U41"/>
      <c r="V41"/>
      <c r="W41"/>
      <c r="X41"/>
      <c r="Y41"/>
    </row>
    <row r="42" spans="1:25" x14ac:dyDescent="0.3">
      <c r="A42" s="3"/>
      <c r="B42" s="187" t="s">
        <v>482</v>
      </c>
      <c r="C42" s="4" t="s">
        <v>138</v>
      </c>
      <c r="D42" s="133" t="s">
        <v>512</v>
      </c>
      <c r="E42" s="1" t="s">
        <v>559</v>
      </c>
      <c r="F42" s="4"/>
      <c r="G42" s="1"/>
      <c r="H42" s="125">
        <v>47.6</v>
      </c>
      <c r="I42" s="125"/>
      <c r="J42" s="125"/>
      <c r="K42" s="125">
        <v>47.6</v>
      </c>
      <c r="L42" s="125">
        <f t="shared" si="0"/>
        <v>21671.759999999998</v>
      </c>
      <c r="M42" s="18" t="s">
        <v>90</v>
      </c>
      <c r="N42"/>
      <c r="P42"/>
      <c r="Q42" s="4"/>
      <c r="R42"/>
      <c r="S42"/>
      <c r="T42"/>
      <c r="U42"/>
      <c r="V42"/>
      <c r="W42"/>
      <c r="X42"/>
      <c r="Y42"/>
    </row>
    <row r="43" spans="1:25" x14ac:dyDescent="0.3">
      <c r="A43" s="3"/>
      <c r="B43" s="187" t="s">
        <v>482</v>
      </c>
      <c r="C43" s="4" t="s">
        <v>560</v>
      </c>
      <c r="D43" s="133" t="s">
        <v>513</v>
      </c>
      <c r="E43" s="1" t="s">
        <v>562</v>
      </c>
      <c r="F43" s="4"/>
      <c r="G43" s="1"/>
      <c r="H43" s="190">
        <v>171.5</v>
      </c>
      <c r="I43" s="125"/>
      <c r="J43" s="125"/>
      <c r="K43" s="125">
        <v>171.5</v>
      </c>
      <c r="L43" s="125">
        <f t="shared" si="0"/>
        <v>21843.26</v>
      </c>
      <c r="M43" s="18" t="s">
        <v>412</v>
      </c>
      <c r="N43"/>
      <c r="P43"/>
      <c r="Q43" s="4"/>
      <c r="R43"/>
      <c r="S43"/>
      <c r="T43"/>
      <c r="U43"/>
      <c r="V43"/>
      <c r="W43"/>
      <c r="X43"/>
      <c r="Y43"/>
    </row>
    <row r="44" spans="1:25" x14ac:dyDescent="0.3">
      <c r="A44" s="3"/>
      <c r="B44" s="187" t="s">
        <v>482</v>
      </c>
      <c r="C44" s="4" t="s">
        <v>451</v>
      </c>
      <c r="D44" s="133" t="s">
        <v>513</v>
      </c>
      <c r="E44" s="1" t="s">
        <v>563</v>
      </c>
      <c r="F44" s="4"/>
      <c r="G44" s="1"/>
      <c r="H44" s="190">
        <v>171.5</v>
      </c>
      <c r="I44" s="125"/>
      <c r="J44" s="125"/>
      <c r="K44" s="125">
        <v>171.5</v>
      </c>
      <c r="L44" s="125">
        <f t="shared" si="0"/>
        <v>22014.76</v>
      </c>
      <c r="M44" s="18" t="s">
        <v>412</v>
      </c>
      <c r="N44"/>
      <c r="P44"/>
      <c r="Q44" s="4"/>
      <c r="R44"/>
      <c r="S44"/>
      <c r="T44"/>
      <c r="U44"/>
      <c r="V44"/>
      <c r="W44"/>
      <c r="X44"/>
      <c r="Y44"/>
    </row>
    <row r="45" spans="1:25" x14ac:dyDescent="0.3">
      <c r="A45" s="3"/>
      <c r="B45" s="187" t="s">
        <v>482</v>
      </c>
      <c r="C45" s="4" t="s">
        <v>561</v>
      </c>
      <c r="D45" s="133" t="s">
        <v>513</v>
      </c>
      <c r="E45" s="1" t="s">
        <v>564</v>
      </c>
      <c r="F45" s="4"/>
      <c r="G45" s="1"/>
      <c r="H45" s="190">
        <v>171.5</v>
      </c>
      <c r="I45" s="125"/>
      <c r="J45" s="125"/>
      <c r="K45" s="125">
        <v>171.5</v>
      </c>
      <c r="L45" s="125">
        <f t="shared" si="0"/>
        <v>22186.26</v>
      </c>
      <c r="M45" s="18" t="s">
        <v>412</v>
      </c>
      <c r="N45"/>
      <c r="P45"/>
      <c r="Q45" s="4"/>
      <c r="R45"/>
      <c r="S45"/>
      <c r="T45"/>
      <c r="U45"/>
      <c r="V45"/>
      <c r="W45"/>
      <c r="X45"/>
      <c r="Y45"/>
    </row>
    <row r="46" spans="1:25" x14ac:dyDescent="0.3">
      <c r="A46" s="3"/>
      <c r="B46" s="187" t="s">
        <v>482</v>
      </c>
      <c r="C46" s="4" t="s">
        <v>178</v>
      </c>
      <c r="D46" s="133" t="s">
        <v>513</v>
      </c>
      <c r="E46" s="1" t="s">
        <v>570</v>
      </c>
      <c r="F46" s="4"/>
      <c r="G46" s="1"/>
      <c r="H46" s="190">
        <v>586.17999999999995</v>
      </c>
      <c r="I46" s="125"/>
      <c r="J46" s="125"/>
      <c r="K46" s="125">
        <v>586.17999999999995</v>
      </c>
      <c r="L46" s="125">
        <f t="shared" si="0"/>
        <v>22772.44</v>
      </c>
      <c r="M46" s="18" t="s">
        <v>90</v>
      </c>
      <c r="N46"/>
      <c r="P46"/>
      <c r="Q46" s="4"/>
      <c r="R46"/>
      <c r="S46"/>
      <c r="T46"/>
      <c r="U46"/>
      <c r="V46"/>
      <c r="W46"/>
      <c r="X46"/>
      <c r="Y46"/>
    </row>
    <row r="47" spans="1:25" x14ac:dyDescent="0.3">
      <c r="A47" s="3"/>
      <c r="B47" s="187" t="s">
        <v>482</v>
      </c>
      <c r="C47" s="4" t="s">
        <v>352</v>
      </c>
      <c r="D47" s="133" t="s">
        <v>513</v>
      </c>
      <c r="E47" s="1" t="s">
        <v>567</v>
      </c>
      <c r="F47" s="4"/>
      <c r="G47" s="1"/>
      <c r="H47" s="190">
        <v>32</v>
      </c>
      <c r="I47" s="125"/>
      <c r="J47" s="125"/>
      <c r="K47" s="125">
        <v>32</v>
      </c>
      <c r="L47" s="125">
        <f t="shared" si="0"/>
        <v>22804.44</v>
      </c>
      <c r="M47" s="18" t="s">
        <v>90</v>
      </c>
      <c r="N47"/>
      <c r="P47"/>
      <c r="Q47" s="4"/>
      <c r="R47" s="30" t="s">
        <v>583</v>
      </c>
      <c r="S47" s="30"/>
      <c r="T47" s="30"/>
      <c r="U47" s="30"/>
      <c r="V47"/>
      <c r="W47"/>
      <c r="X47"/>
      <c r="Y47"/>
    </row>
    <row r="48" spans="1:25" x14ac:dyDescent="0.3">
      <c r="A48" s="174"/>
      <c r="B48" s="187" t="s">
        <v>482</v>
      </c>
      <c r="C48" s="4" t="s">
        <v>58</v>
      </c>
      <c r="D48" s="133" t="s">
        <v>9</v>
      </c>
      <c r="E48" s="1" t="s">
        <v>568</v>
      </c>
      <c r="F48" s="4"/>
      <c r="G48" s="1"/>
      <c r="H48" s="125"/>
      <c r="I48" s="125"/>
      <c r="J48" s="125">
        <v>-129.66999999999999</v>
      </c>
      <c r="K48" s="125">
        <v>-129.66999999999999</v>
      </c>
      <c r="L48" s="125">
        <f t="shared" si="0"/>
        <v>22674.77</v>
      </c>
      <c r="M48" s="18" t="s">
        <v>90</v>
      </c>
      <c r="N48"/>
      <c r="P48"/>
      <c r="Q48" s="4"/>
      <c r="R48"/>
      <c r="S48"/>
      <c r="T48"/>
      <c r="U48"/>
      <c r="V48"/>
      <c r="W48"/>
      <c r="X48"/>
      <c r="Y48"/>
    </row>
    <row r="49" spans="1:25" x14ac:dyDescent="0.3">
      <c r="A49" s="174"/>
      <c r="B49" s="187" t="s">
        <v>482</v>
      </c>
      <c r="C49" s="4" t="s">
        <v>48</v>
      </c>
      <c r="D49" s="133" t="s">
        <v>12</v>
      </c>
      <c r="E49" s="1" t="s">
        <v>569</v>
      </c>
      <c r="F49" s="4"/>
      <c r="G49" s="1"/>
      <c r="H49" s="125"/>
      <c r="I49" s="125"/>
      <c r="J49" s="125">
        <v>-136.62</v>
      </c>
      <c r="K49" s="125">
        <v>-136.62</v>
      </c>
      <c r="L49" s="125">
        <f t="shared" si="0"/>
        <v>22538.15</v>
      </c>
      <c r="M49" s="18" t="s">
        <v>90</v>
      </c>
      <c r="N49">
        <v>46.8</v>
      </c>
      <c r="P49"/>
      <c r="Q49" s="4"/>
      <c r="R49" t="s">
        <v>584</v>
      </c>
      <c r="S49"/>
      <c r="T49"/>
      <c r="U49"/>
      <c r="V49">
        <v>24256.14</v>
      </c>
      <c r="W49"/>
      <c r="X49"/>
      <c r="Y49"/>
    </row>
    <row r="50" spans="1:25" x14ac:dyDescent="0.3">
      <c r="A50" s="3"/>
      <c r="B50" s="187" t="s">
        <v>482</v>
      </c>
      <c r="C50" s="4" t="s">
        <v>129</v>
      </c>
      <c r="D50" s="133" t="s">
        <v>512</v>
      </c>
      <c r="E50" s="1"/>
      <c r="F50" s="4"/>
      <c r="G50" s="1"/>
      <c r="H50" s="125">
        <v>138</v>
      </c>
      <c r="I50" s="125"/>
      <c r="J50" s="125"/>
      <c r="K50" s="125">
        <v>138</v>
      </c>
      <c r="L50" s="125">
        <f t="shared" si="0"/>
        <v>22676.15</v>
      </c>
      <c r="M50" s="18" t="s">
        <v>90</v>
      </c>
      <c r="N50"/>
      <c r="P50"/>
      <c r="Q50" s="4"/>
      <c r="R50"/>
      <c r="S50"/>
      <c r="T50"/>
      <c r="U50"/>
      <c r="V50"/>
      <c r="W50"/>
      <c r="X50"/>
      <c r="Y50"/>
    </row>
    <row r="51" spans="1:25" x14ac:dyDescent="0.3">
      <c r="A51" s="3"/>
      <c r="B51" s="187" t="s">
        <v>482</v>
      </c>
      <c r="C51" s="4" t="s">
        <v>455</v>
      </c>
      <c r="D51" s="133" t="s">
        <v>504</v>
      </c>
      <c r="E51" s="191" t="s">
        <v>715</v>
      </c>
      <c r="F51" s="4"/>
      <c r="G51" s="1">
        <v>500171</v>
      </c>
      <c r="H51" s="125"/>
      <c r="I51" s="125"/>
      <c r="J51" s="192">
        <v>-50</v>
      </c>
      <c r="K51" s="125">
        <v>-50</v>
      </c>
      <c r="L51" s="125">
        <f t="shared" si="0"/>
        <v>22626.15</v>
      </c>
      <c r="M51" s="18" t="s">
        <v>90</v>
      </c>
      <c r="N51"/>
      <c r="P51"/>
      <c r="Q51" s="4"/>
      <c r="R51" t="s">
        <v>608</v>
      </c>
      <c r="S51"/>
      <c r="T51"/>
      <c r="U51"/>
      <c r="V51"/>
      <c r="W51"/>
      <c r="X51"/>
      <c r="Y51"/>
    </row>
    <row r="52" spans="1:25" x14ac:dyDescent="0.3">
      <c r="A52" s="3"/>
      <c r="B52" s="187" t="s">
        <v>482</v>
      </c>
      <c r="C52" s="4" t="s">
        <v>571</v>
      </c>
      <c r="D52" s="133" t="s">
        <v>512</v>
      </c>
      <c r="E52" s="1"/>
      <c r="F52" s="4"/>
      <c r="G52" s="1"/>
      <c r="H52" s="125">
        <v>24</v>
      </c>
      <c r="I52" s="125"/>
      <c r="J52" s="125"/>
      <c r="K52" s="125">
        <v>24</v>
      </c>
      <c r="L52" s="125">
        <f t="shared" si="0"/>
        <v>22650.15</v>
      </c>
      <c r="M52" s="18" t="s">
        <v>587</v>
      </c>
      <c r="N52"/>
      <c r="P52"/>
      <c r="Q52" s="4"/>
      <c r="R52" t="s">
        <v>609</v>
      </c>
      <c r="S52"/>
      <c r="T52"/>
      <c r="U52" s="125">
        <v>-109.5</v>
      </c>
      <c r="V52"/>
      <c r="W52" t="s">
        <v>611</v>
      </c>
      <c r="X52"/>
      <c r="Y52"/>
    </row>
    <row r="53" spans="1:25" x14ac:dyDescent="0.3">
      <c r="A53" s="3"/>
      <c r="B53" s="187" t="s">
        <v>482</v>
      </c>
      <c r="C53" s="4" t="s">
        <v>571</v>
      </c>
      <c r="D53" s="133" t="s">
        <v>500</v>
      </c>
      <c r="E53" s="191" t="s">
        <v>594</v>
      </c>
      <c r="F53" s="4"/>
      <c r="G53" s="193"/>
      <c r="H53" s="192">
        <v>20</v>
      </c>
      <c r="I53" s="125"/>
      <c r="J53" s="125"/>
      <c r="K53" s="125">
        <v>20</v>
      </c>
      <c r="L53" s="125">
        <f t="shared" si="0"/>
        <v>22670.15</v>
      </c>
      <c r="M53" s="18" t="s">
        <v>587</v>
      </c>
      <c r="N53"/>
      <c r="P53"/>
      <c r="Q53" s="4"/>
      <c r="R53" t="s">
        <v>612</v>
      </c>
      <c r="S53"/>
      <c r="T53"/>
      <c r="U53" s="125">
        <v>-39</v>
      </c>
      <c r="V53" s="125">
        <v>-148.5</v>
      </c>
      <c r="W53" t="s">
        <v>611</v>
      </c>
      <c r="X53"/>
      <c r="Y53"/>
    </row>
    <row r="54" spans="1:25" x14ac:dyDescent="0.3">
      <c r="A54" s="3"/>
      <c r="B54" s="187" t="s">
        <v>482</v>
      </c>
      <c r="C54" s="237" t="s">
        <v>339</v>
      </c>
      <c r="D54" s="133" t="s">
        <v>512</v>
      </c>
      <c r="E54" s="1"/>
      <c r="F54" s="4"/>
      <c r="G54" s="1"/>
      <c r="H54" s="125">
        <v>51</v>
      </c>
      <c r="I54" s="125"/>
      <c r="J54" s="125"/>
      <c r="K54" s="125">
        <v>51</v>
      </c>
      <c r="L54" s="125">
        <f t="shared" si="0"/>
        <v>22721.15</v>
      </c>
      <c r="M54" s="18" t="s">
        <v>587</v>
      </c>
      <c r="N54"/>
      <c r="P54"/>
      <c r="Q54" s="4"/>
      <c r="R54"/>
      <c r="S54"/>
      <c r="T54"/>
      <c r="U54" s="125"/>
      <c r="V54"/>
      <c r="W54"/>
      <c r="X54"/>
      <c r="Y54"/>
    </row>
    <row r="55" spans="1:25" x14ac:dyDescent="0.3">
      <c r="A55" s="3"/>
      <c r="B55" s="187" t="s">
        <v>482</v>
      </c>
      <c r="C55" s="4" t="s">
        <v>573</v>
      </c>
      <c r="D55" s="133" t="s">
        <v>512</v>
      </c>
      <c r="E55" s="1" t="s">
        <v>575</v>
      </c>
      <c r="F55" s="4"/>
      <c r="G55" s="1"/>
      <c r="H55" s="125">
        <v>200</v>
      </c>
      <c r="I55" s="125"/>
      <c r="J55" s="125"/>
      <c r="K55" s="125">
        <v>200</v>
      </c>
      <c r="L55" s="125">
        <f t="shared" si="0"/>
        <v>22921.15</v>
      </c>
      <c r="M55" s="18" t="s">
        <v>90</v>
      </c>
      <c r="N55"/>
      <c r="P55"/>
      <c r="Q55" s="4"/>
      <c r="R55"/>
      <c r="S55"/>
      <c r="T55"/>
      <c r="U55" s="125"/>
      <c r="V55"/>
      <c r="W55"/>
      <c r="X55"/>
      <c r="Y55"/>
    </row>
    <row r="56" spans="1:25" x14ac:dyDescent="0.3">
      <c r="A56" s="3"/>
      <c r="B56" s="187" t="s">
        <v>482</v>
      </c>
      <c r="C56" s="4" t="s">
        <v>574</v>
      </c>
      <c r="D56" s="133" t="s">
        <v>512</v>
      </c>
      <c r="E56" s="1"/>
      <c r="F56" s="4"/>
      <c r="G56" s="1"/>
      <c r="H56" s="125">
        <v>12.75</v>
      </c>
      <c r="I56" s="125"/>
      <c r="J56" s="125"/>
      <c r="K56" s="125">
        <v>12.75</v>
      </c>
      <c r="L56" s="125">
        <f t="shared" si="0"/>
        <v>22933.9</v>
      </c>
      <c r="M56" s="18" t="s">
        <v>587</v>
      </c>
      <c r="N56"/>
      <c r="P56"/>
      <c r="Q56" s="4"/>
      <c r="R56"/>
      <c r="S56"/>
      <c r="T56"/>
      <c r="U56" s="125"/>
      <c r="V56"/>
      <c r="W56"/>
      <c r="X56"/>
      <c r="Y56"/>
    </row>
    <row r="57" spans="1:25" x14ac:dyDescent="0.3">
      <c r="A57" s="3"/>
      <c r="B57" s="187" t="s">
        <v>482</v>
      </c>
      <c r="C57" s="4" t="s">
        <v>576</v>
      </c>
      <c r="D57" s="133" t="s">
        <v>512</v>
      </c>
      <c r="E57" s="1" t="s">
        <v>577</v>
      </c>
      <c r="F57" s="4"/>
      <c r="G57" s="1"/>
      <c r="H57" s="125">
        <v>45</v>
      </c>
      <c r="I57" s="125"/>
      <c r="J57" s="125"/>
      <c r="K57" s="125">
        <v>45</v>
      </c>
      <c r="L57" s="125">
        <f t="shared" si="0"/>
        <v>22978.9</v>
      </c>
      <c r="M57" s="18" t="s">
        <v>606</v>
      </c>
      <c r="N57" s="25"/>
      <c r="P57"/>
      <c r="Q57" s="4"/>
      <c r="R57" t="s">
        <v>585</v>
      </c>
      <c r="S57"/>
      <c r="T57"/>
      <c r="U57" s="125"/>
      <c r="V57"/>
      <c r="W57"/>
      <c r="X57"/>
      <c r="Y57"/>
    </row>
    <row r="58" spans="1:25" x14ac:dyDescent="0.3">
      <c r="A58" s="3"/>
      <c r="B58" s="187" t="s">
        <v>482</v>
      </c>
      <c r="C58" s="4" t="s">
        <v>578</v>
      </c>
      <c r="D58" s="133" t="s">
        <v>512</v>
      </c>
      <c r="E58" s="1" t="s">
        <v>633</v>
      </c>
      <c r="F58" s="4"/>
      <c r="G58" s="1"/>
      <c r="H58" s="125">
        <v>59.5</v>
      </c>
      <c r="I58" s="125"/>
      <c r="J58" s="125"/>
      <c r="K58" s="125">
        <v>59.5</v>
      </c>
      <c r="L58" s="125">
        <f t="shared" si="0"/>
        <v>23038.400000000001</v>
      </c>
      <c r="M58" s="18" t="s">
        <v>582</v>
      </c>
      <c r="N58"/>
      <c r="P58"/>
      <c r="Q58" s="4"/>
      <c r="R58"/>
      <c r="S58"/>
      <c r="T58"/>
      <c r="U58" s="125">
        <v>50</v>
      </c>
      <c r="V58"/>
      <c r="W58" t="s">
        <v>90</v>
      </c>
      <c r="X58"/>
      <c r="Y58"/>
    </row>
    <row r="59" spans="1:25" x14ac:dyDescent="0.3">
      <c r="A59" s="3"/>
      <c r="B59" s="187" t="s">
        <v>482</v>
      </c>
      <c r="C59" s="4" t="s">
        <v>578</v>
      </c>
      <c r="D59" s="133" t="s">
        <v>500</v>
      </c>
      <c r="E59" s="191" t="s">
        <v>593</v>
      </c>
      <c r="F59" s="4"/>
      <c r="G59" s="193"/>
      <c r="H59" s="192">
        <v>50</v>
      </c>
      <c r="I59" s="125"/>
      <c r="J59" s="125"/>
      <c r="K59" s="125">
        <v>50</v>
      </c>
      <c r="L59" s="125">
        <f t="shared" si="0"/>
        <v>23088.400000000001</v>
      </c>
      <c r="M59" s="18" t="s">
        <v>582</v>
      </c>
      <c r="N59"/>
      <c r="P59"/>
      <c r="Q59" s="4"/>
      <c r="R59"/>
      <c r="S59"/>
      <c r="T59"/>
      <c r="U59" s="125">
        <v>68</v>
      </c>
      <c r="V59" s="125">
        <v>118</v>
      </c>
      <c r="W59" t="s">
        <v>90</v>
      </c>
      <c r="X59"/>
      <c r="Y59"/>
    </row>
    <row r="60" spans="1:25" x14ac:dyDescent="0.3">
      <c r="A60" s="3"/>
      <c r="B60" s="187" t="s">
        <v>482</v>
      </c>
      <c r="C60" s="4" t="s">
        <v>407</v>
      </c>
      <c r="D60" s="133" t="s">
        <v>513</v>
      </c>
      <c r="E60" s="1"/>
      <c r="F60"/>
      <c r="G60" s="1"/>
      <c r="H60" s="190">
        <v>507.6</v>
      </c>
      <c r="I60" s="125"/>
      <c r="J60" s="125"/>
      <c r="K60" s="125">
        <v>507.6</v>
      </c>
      <c r="L60" s="125">
        <f t="shared" si="0"/>
        <v>23596</v>
      </c>
      <c r="M60" s="18" t="s">
        <v>606</v>
      </c>
      <c r="N60"/>
      <c r="P60"/>
      <c r="Q60" s="4"/>
      <c r="R60"/>
      <c r="S60"/>
      <c r="T60"/>
      <c r="U60"/>
      <c r="V60"/>
      <c r="W60"/>
      <c r="X60"/>
      <c r="Y60"/>
    </row>
    <row r="61" spans="1:25" x14ac:dyDescent="0.3">
      <c r="A61" s="3"/>
      <c r="B61" s="187" t="s">
        <v>482</v>
      </c>
      <c r="C61" s="4" t="s">
        <v>144</v>
      </c>
      <c r="D61" s="133" t="s">
        <v>513</v>
      </c>
      <c r="E61" s="1"/>
      <c r="F61"/>
      <c r="G61" s="1"/>
      <c r="H61" s="190">
        <v>235.2</v>
      </c>
      <c r="I61" s="125"/>
      <c r="J61" s="125"/>
      <c r="K61" s="125">
        <v>235.2</v>
      </c>
      <c r="L61" s="125">
        <f t="shared" si="0"/>
        <v>23831.200000000001</v>
      </c>
      <c r="M61" s="18" t="s">
        <v>606</v>
      </c>
      <c r="N61"/>
      <c r="P61"/>
      <c r="Q61" s="4"/>
      <c r="R61"/>
      <c r="S61"/>
      <c r="T61"/>
      <c r="U61"/>
      <c r="V61"/>
      <c r="W61"/>
      <c r="X61"/>
      <c r="Y61"/>
    </row>
    <row r="62" spans="1:25" x14ac:dyDescent="0.3">
      <c r="A62" s="3"/>
      <c r="B62" s="187" t="s">
        <v>482</v>
      </c>
      <c r="C62" s="4" t="s">
        <v>579</v>
      </c>
      <c r="D62" s="133" t="s">
        <v>504</v>
      </c>
      <c r="E62" s="191" t="s">
        <v>716</v>
      </c>
      <c r="F62" s="4"/>
      <c r="G62" s="1">
        <v>500172</v>
      </c>
      <c r="H62" s="125"/>
      <c r="I62" s="125"/>
      <c r="J62" s="192">
        <v>-50</v>
      </c>
      <c r="K62" s="125">
        <v>-50</v>
      </c>
      <c r="L62" s="125">
        <f t="shared" si="0"/>
        <v>23781.200000000001</v>
      </c>
      <c r="M62" s="18" t="s">
        <v>666</v>
      </c>
      <c r="N62"/>
      <c r="P62"/>
      <c r="Q62" s="4"/>
      <c r="R62"/>
      <c r="S62"/>
      <c r="T62"/>
      <c r="U62"/>
      <c r="V62"/>
      <c r="W62"/>
      <c r="X62"/>
      <c r="Y62"/>
    </row>
    <row r="63" spans="1:25" x14ac:dyDescent="0.3">
      <c r="A63" s="3"/>
      <c r="B63" s="187" t="s">
        <v>482</v>
      </c>
      <c r="C63" s="4" t="s">
        <v>580</v>
      </c>
      <c r="D63" s="133" t="s">
        <v>500</v>
      </c>
      <c r="E63" s="191" t="s">
        <v>581</v>
      </c>
      <c r="F63" s="4"/>
      <c r="G63" s="1"/>
      <c r="H63" s="192">
        <v>50</v>
      </c>
      <c r="I63" s="125"/>
      <c r="J63" s="125"/>
      <c r="K63" s="125">
        <v>50</v>
      </c>
      <c r="L63" s="125">
        <f t="shared" si="0"/>
        <v>23831.200000000001</v>
      </c>
      <c r="M63" s="18" t="s">
        <v>587</v>
      </c>
      <c r="N63"/>
      <c r="P63"/>
      <c r="Q63" s="4"/>
      <c r="R63" t="s">
        <v>586</v>
      </c>
      <c r="S63"/>
      <c r="T63"/>
      <c r="U63" s="125"/>
      <c r="V63"/>
      <c r="W63"/>
      <c r="X63"/>
      <c r="Y63"/>
    </row>
    <row r="64" spans="1:25" x14ac:dyDescent="0.3">
      <c r="A64" s="3"/>
      <c r="B64" s="187" t="s">
        <v>482</v>
      </c>
      <c r="C64" s="4" t="s">
        <v>580</v>
      </c>
      <c r="D64" s="133" t="s">
        <v>512</v>
      </c>
      <c r="E64" s="1" t="s">
        <v>589</v>
      </c>
      <c r="F64" s="4"/>
      <c r="G64" s="1"/>
      <c r="H64" s="125">
        <v>68</v>
      </c>
      <c r="I64" s="125"/>
      <c r="J64" s="125"/>
      <c r="K64" s="125">
        <v>68</v>
      </c>
      <c r="L64" s="125">
        <f t="shared" si="0"/>
        <v>23899.200000000001</v>
      </c>
      <c r="M64" s="18" t="s">
        <v>587</v>
      </c>
      <c r="N64"/>
      <c r="P64"/>
      <c r="Q64" s="4"/>
      <c r="R64"/>
      <c r="S64">
        <v>500125</v>
      </c>
      <c r="T64"/>
      <c r="U64" s="125">
        <v>-20</v>
      </c>
      <c r="V64"/>
      <c r="W64"/>
      <c r="X64"/>
      <c r="Y64"/>
    </row>
    <row r="65" spans="1:25" x14ac:dyDescent="0.3">
      <c r="A65" s="3"/>
      <c r="B65" s="187" t="s">
        <v>482</v>
      </c>
      <c r="C65" s="4" t="s">
        <v>299</v>
      </c>
      <c r="D65" s="133" t="s">
        <v>301</v>
      </c>
      <c r="E65" s="1"/>
      <c r="F65" s="4"/>
      <c r="G65" s="1"/>
      <c r="H65" s="125"/>
      <c r="I65" s="125"/>
      <c r="J65" s="125">
        <v>-34.68</v>
      </c>
      <c r="K65" s="125">
        <v>-34.68</v>
      </c>
      <c r="L65" s="125">
        <f t="shared" si="0"/>
        <v>23864.52</v>
      </c>
      <c r="M65" s="18" t="s">
        <v>90</v>
      </c>
      <c r="N65"/>
      <c r="P65"/>
      <c r="Q65" s="4"/>
      <c r="R65"/>
      <c r="S65">
        <v>500172</v>
      </c>
      <c r="T65"/>
      <c r="U65" s="125">
        <v>-50</v>
      </c>
      <c r="V65" s="125">
        <v>-70</v>
      </c>
      <c r="W65"/>
      <c r="X65"/>
      <c r="Y65"/>
    </row>
    <row r="66" spans="1:25" x14ac:dyDescent="0.3">
      <c r="A66" s="3"/>
      <c r="B66" s="187" t="s">
        <v>482</v>
      </c>
      <c r="C66" s="4" t="s">
        <v>128</v>
      </c>
      <c r="D66" s="133" t="s">
        <v>513</v>
      </c>
      <c r="E66" s="1"/>
      <c r="F66" s="4"/>
      <c r="G66" s="1"/>
      <c r="H66" s="190">
        <v>374</v>
      </c>
      <c r="I66" s="125"/>
      <c r="J66" s="125"/>
      <c r="K66" s="125">
        <v>374</v>
      </c>
      <c r="L66" s="125">
        <f t="shared" si="0"/>
        <v>24238.52</v>
      </c>
      <c r="M66" s="18" t="s">
        <v>90</v>
      </c>
      <c r="N66"/>
      <c r="P66"/>
      <c r="Q66" s="4"/>
      <c r="R66"/>
      <c r="S66"/>
      <c r="T66"/>
      <c r="U66"/>
      <c r="V66"/>
      <c r="W66"/>
      <c r="X66"/>
      <c r="Y66"/>
    </row>
    <row r="67" spans="1:25" x14ac:dyDescent="0.3">
      <c r="A67" s="3"/>
      <c r="B67" s="187" t="s">
        <v>482</v>
      </c>
      <c r="C67" s="4" t="s">
        <v>607</v>
      </c>
      <c r="D67" s="133" t="s">
        <v>11</v>
      </c>
      <c r="E67" s="1"/>
      <c r="F67" s="4"/>
      <c r="G67" s="1"/>
      <c r="H67" s="125"/>
      <c r="I67" s="125"/>
      <c r="J67" s="125">
        <v>-82.88</v>
      </c>
      <c r="K67" s="125">
        <v>-82.88</v>
      </c>
      <c r="L67" s="125">
        <f t="shared" si="0"/>
        <v>24155.64</v>
      </c>
      <c r="N67"/>
      <c r="P67"/>
      <c r="Q67" s="4"/>
      <c r="R67" t="s">
        <v>652</v>
      </c>
      <c r="S67"/>
      <c r="T67"/>
      <c r="U67"/>
      <c r="V67">
        <v>24155.64</v>
      </c>
      <c r="W67"/>
      <c r="X67" t="s">
        <v>588</v>
      </c>
      <c r="Y67"/>
    </row>
    <row r="68" spans="1:25" x14ac:dyDescent="0.3">
      <c r="A68" s="28" t="s">
        <v>78</v>
      </c>
      <c r="B68" s="187"/>
      <c r="C68"/>
      <c r="D68"/>
      <c r="E68" s="1"/>
      <c r="F68" s="4"/>
      <c r="G68" s="1"/>
      <c r="H68" s="125"/>
      <c r="I68" s="125"/>
      <c r="J68" s="125"/>
      <c r="K68" s="125"/>
      <c r="L68" s="125">
        <f t="shared" si="0"/>
        <v>24155.64</v>
      </c>
      <c r="M68" s="18" t="s">
        <v>588</v>
      </c>
      <c r="N68"/>
      <c r="P68"/>
      <c r="Q68" s="4"/>
      <c r="R68"/>
      <c r="S68"/>
      <c r="T68"/>
      <c r="U68"/>
      <c r="V68"/>
      <c r="W68"/>
      <c r="X68"/>
      <c r="Y68"/>
    </row>
    <row r="69" spans="1:25" x14ac:dyDescent="0.3">
      <c r="A69" s="28"/>
      <c r="B69" s="187" t="s">
        <v>483</v>
      </c>
      <c r="C69" s="4" t="s">
        <v>592</v>
      </c>
      <c r="D69" s="133" t="s">
        <v>500</v>
      </c>
      <c r="E69" s="191" t="s">
        <v>590</v>
      </c>
      <c r="F69" s="4"/>
      <c r="G69" s="1"/>
      <c r="H69" s="192">
        <v>50</v>
      </c>
      <c r="I69" s="125"/>
      <c r="J69" s="125"/>
      <c r="K69" s="125">
        <v>50</v>
      </c>
      <c r="L69" s="125">
        <f t="shared" si="0"/>
        <v>24205.64</v>
      </c>
      <c r="M69" s="18" t="s">
        <v>587</v>
      </c>
      <c r="N69"/>
      <c r="P69"/>
      <c r="Q69" s="4"/>
      <c r="R69"/>
      <c r="S69"/>
      <c r="T69"/>
      <c r="U69"/>
      <c r="V69"/>
      <c r="W69"/>
      <c r="X69"/>
      <c r="Y69"/>
    </row>
    <row r="70" spans="1:25" x14ac:dyDescent="0.3">
      <c r="A70" s="28"/>
      <c r="B70" s="187" t="s">
        <v>483</v>
      </c>
      <c r="C70" s="4" t="s">
        <v>592</v>
      </c>
      <c r="D70" s="133" t="s">
        <v>512</v>
      </c>
      <c r="E70" s="1" t="s">
        <v>591</v>
      </c>
      <c r="F70" s="4"/>
      <c r="G70" s="1"/>
      <c r="H70" s="125">
        <v>76.5</v>
      </c>
      <c r="I70" s="125"/>
      <c r="J70" s="125"/>
      <c r="K70" s="125">
        <v>76.5</v>
      </c>
      <c r="L70" s="125">
        <f t="shared" si="0"/>
        <v>24282.14</v>
      </c>
      <c r="M70" s="18" t="s">
        <v>587</v>
      </c>
      <c r="N70"/>
      <c r="P70"/>
      <c r="Q70" s="4"/>
      <c r="R70"/>
      <c r="S70"/>
      <c r="T70"/>
      <c r="U70"/>
      <c r="V70"/>
      <c r="W70"/>
      <c r="X70"/>
      <c r="Y70"/>
    </row>
    <row r="71" spans="1:25" x14ac:dyDescent="0.3">
      <c r="A71" s="28"/>
      <c r="B71" s="187" t="s">
        <v>483</v>
      </c>
      <c r="C71" s="4" t="s">
        <v>613</v>
      </c>
      <c r="D71" s="133" t="s">
        <v>512</v>
      </c>
      <c r="E71" s="1" t="s">
        <v>595</v>
      </c>
      <c r="F71" s="4"/>
      <c r="G71" s="1"/>
      <c r="H71" s="125">
        <v>14</v>
      </c>
      <c r="I71" s="125"/>
      <c r="J71" s="125"/>
      <c r="K71" s="125">
        <v>14</v>
      </c>
      <c r="L71" s="125">
        <f t="shared" si="0"/>
        <v>24296.14</v>
      </c>
      <c r="M71" s="18" t="s">
        <v>610</v>
      </c>
      <c r="N71"/>
      <c r="P71"/>
      <c r="Q71" s="4"/>
      <c r="R71"/>
      <c r="S71"/>
      <c r="T71"/>
      <c r="U71"/>
      <c r="V71"/>
      <c r="W71"/>
      <c r="X71"/>
      <c r="Y71"/>
    </row>
    <row r="72" spans="1:25" x14ac:dyDescent="0.3">
      <c r="A72" s="28"/>
      <c r="B72" s="187" t="s">
        <v>483</v>
      </c>
      <c r="C72" s="4" t="s">
        <v>613</v>
      </c>
      <c r="D72" s="133" t="s">
        <v>500</v>
      </c>
      <c r="E72" s="191" t="s">
        <v>170</v>
      </c>
      <c r="F72" s="4"/>
      <c r="G72" s="1"/>
      <c r="H72" s="192">
        <v>25</v>
      </c>
      <c r="I72" s="125"/>
      <c r="J72" s="125"/>
      <c r="K72" s="125">
        <v>25</v>
      </c>
      <c r="L72" s="125">
        <f t="shared" si="0"/>
        <v>24321.14</v>
      </c>
      <c r="M72" s="18" t="s">
        <v>610</v>
      </c>
      <c r="N72"/>
      <c r="P72"/>
      <c r="Q72" s="4"/>
      <c r="R72"/>
      <c r="S72"/>
      <c r="T72"/>
      <c r="U72"/>
      <c r="V72"/>
      <c r="W72"/>
      <c r="X72"/>
      <c r="Y72"/>
    </row>
    <row r="73" spans="1:25" x14ac:dyDescent="0.3">
      <c r="A73" s="28"/>
      <c r="B73" s="187" t="s">
        <v>483</v>
      </c>
      <c r="C73" s="4" t="s">
        <v>596</v>
      </c>
      <c r="D73" s="133" t="s">
        <v>512</v>
      </c>
      <c r="E73" s="1" t="s">
        <v>597</v>
      </c>
      <c r="F73" s="4"/>
      <c r="G73" s="1"/>
      <c r="H73" s="125">
        <v>8</v>
      </c>
      <c r="I73" s="125"/>
      <c r="J73" s="125"/>
      <c r="K73" s="125">
        <v>8</v>
      </c>
      <c r="L73" s="125">
        <f t="shared" si="0"/>
        <v>24329.14</v>
      </c>
      <c r="N73"/>
      <c r="P73"/>
      <c r="Q73" s="4"/>
      <c r="R73"/>
      <c r="S73"/>
      <c r="T73"/>
      <c r="U73"/>
      <c r="V73"/>
      <c r="W73"/>
      <c r="X73"/>
      <c r="Y73"/>
    </row>
    <row r="74" spans="1:25" x14ac:dyDescent="0.3">
      <c r="A74" s="3"/>
      <c r="B74" s="187" t="s">
        <v>483</v>
      </c>
      <c r="C74" s="4" t="s">
        <v>598</v>
      </c>
      <c r="D74" s="133" t="s">
        <v>500</v>
      </c>
      <c r="E74" s="191" t="s">
        <v>173</v>
      </c>
      <c r="F74" s="4"/>
      <c r="G74" s="1"/>
      <c r="H74" s="192">
        <v>50</v>
      </c>
      <c r="I74" s="125"/>
      <c r="J74" s="125"/>
      <c r="K74" s="125">
        <v>50</v>
      </c>
      <c r="L74" s="125">
        <f t="shared" si="0"/>
        <v>24379.14</v>
      </c>
      <c r="M74" s="18" t="s">
        <v>610</v>
      </c>
      <c r="N74"/>
      <c r="P74"/>
      <c r="Q74" s="4"/>
      <c r="R74"/>
      <c r="S74"/>
      <c r="T74"/>
      <c r="U74"/>
      <c r="V74"/>
      <c r="W74"/>
      <c r="X74"/>
      <c r="Y74"/>
    </row>
    <row r="75" spans="1:25" x14ac:dyDescent="0.3">
      <c r="A75" s="3"/>
      <c r="B75" s="187" t="s">
        <v>483</v>
      </c>
      <c r="C75" s="4" t="s">
        <v>598</v>
      </c>
      <c r="D75" s="133" t="s">
        <v>512</v>
      </c>
      <c r="E75" s="1" t="s">
        <v>599</v>
      </c>
      <c r="F75" s="4"/>
      <c r="G75" s="1"/>
      <c r="H75" s="125">
        <v>59.5</v>
      </c>
      <c r="I75" s="125"/>
      <c r="J75" s="125"/>
      <c r="K75" s="125">
        <v>59.5</v>
      </c>
      <c r="L75" s="125">
        <f t="shared" si="0"/>
        <v>24438.639999999999</v>
      </c>
      <c r="M75" s="18" t="s">
        <v>610</v>
      </c>
      <c r="N75"/>
      <c r="P75"/>
      <c r="Q75" s="4"/>
      <c r="R75"/>
      <c r="S75"/>
      <c r="T75"/>
      <c r="U75"/>
      <c r="V75"/>
      <c r="W75"/>
      <c r="X75"/>
      <c r="Y75"/>
    </row>
    <row r="76" spans="1:25" x14ac:dyDescent="0.3">
      <c r="A76" s="3"/>
      <c r="B76" s="187" t="s">
        <v>483</v>
      </c>
      <c r="C76" s="4" t="s">
        <v>600</v>
      </c>
      <c r="D76" s="133" t="s">
        <v>512</v>
      </c>
      <c r="E76" s="4"/>
      <c r="F76" s="4"/>
      <c r="G76" s="1"/>
      <c r="H76" s="125">
        <v>8</v>
      </c>
      <c r="I76" s="125"/>
      <c r="J76" s="125"/>
      <c r="K76" s="125">
        <v>8</v>
      </c>
      <c r="L76" s="125">
        <f t="shared" si="0"/>
        <v>24446.639999999999</v>
      </c>
      <c r="M76" s="18" t="s">
        <v>534</v>
      </c>
      <c r="N76"/>
      <c r="P76"/>
      <c r="Q76" s="4"/>
      <c r="R76"/>
      <c r="S76"/>
      <c r="T76"/>
      <c r="U76"/>
      <c r="V76"/>
      <c r="W76"/>
      <c r="X76"/>
      <c r="Y76"/>
    </row>
    <row r="77" spans="1:25" x14ac:dyDescent="0.3">
      <c r="A77" s="3"/>
      <c r="B77" s="187" t="s">
        <v>483</v>
      </c>
      <c r="C77" s="4" t="s">
        <v>601</v>
      </c>
      <c r="D77" s="133" t="s">
        <v>500</v>
      </c>
      <c r="E77" s="191" t="s">
        <v>602</v>
      </c>
      <c r="F77" s="4"/>
      <c r="G77" s="1"/>
      <c r="H77" s="192">
        <v>50</v>
      </c>
      <c r="I77" s="125"/>
      <c r="J77" s="125"/>
      <c r="K77" s="125">
        <v>50</v>
      </c>
      <c r="L77" s="125">
        <f t="shared" si="0"/>
        <v>24496.639999999999</v>
      </c>
      <c r="M77" s="18" t="s">
        <v>412</v>
      </c>
      <c r="N77"/>
      <c r="P77"/>
      <c r="Q77" s="4"/>
      <c r="R77"/>
      <c r="S77"/>
      <c r="T77"/>
      <c r="U77"/>
      <c r="V77"/>
      <c r="W77"/>
      <c r="X77"/>
      <c r="Y77"/>
    </row>
    <row r="78" spans="1:25" x14ac:dyDescent="0.3">
      <c r="A78" s="3"/>
      <c r="B78" s="187" t="s">
        <v>483</v>
      </c>
      <c r="C78" s="4" t="s">
        <v>601</v>
      </c>
      <c r="D78" s="133" t="s">
        <v>512</v>
      </c>
      <c r="E78" s="1" t="s">
        <v>603</v>
      </c>
      <c r="F78" s="4"/>
      <c r="G78" s="1"/>
      <c r="H78" s="125">
        <v>85</v>
      </c>
      <c r="I78" s="125"/>
      <c r="J78" s="125"/>
      <c r="K78" s="125">
        <v>85</v>
      </c>
      <c r="L78" s="125">
        <f t="shared" si="0"/>
        <v>24581.64</v>
      </c>
      <c r="M78" s="18" t="s">
        <v>412</v>
      </c>
      <c r="N78"/>
      <c r="P78"/>
      <c r="Q78" s="4"/>
      <c r="R78"/>
      <c r="S78"/>
      <c r="T78"/>
      <c r="U78"/>
      <c r="V78"/>
      <c r="W78"/>
      <c r="X78"/>
      <c r="Y78"/>
    </row>
    <row r="79" spans="1:25" x14ac:dyDescent="0.3">
      <c r="A79" s="3"/>
      <c r="B79" s="187" t="s">
        <v>483</v>
      </c>
      <c r="C79" s="237" t="s">
        <v>604</v>
      </c>
      <c r="D79" s="133" t="s">
        <v>512</v>
      </c>
      <c r="E79" s="1"/>
      <c r="F79" s="4"/>
      <c r="G79" s="1"/>
      <c r="H79" s="125">
        <v>51</v>
      </c>
      <c r="I79" s="125"/>
      <c r="J79" s="125"/>
      <c r="K79" s="125">
        <v>51</v>
      </c>
      <c r="L79" s="125">
        <f t="shared" si="0"/>
        <v>24632.639999999999</v>
      </c>
      <c r="M79" s="18" t="s">
        <v>534</v>
      </c>
      <c r="N79"/>
      <c r="P79"/>
      <c r="Q79" s="4"/>
      <c r="R79"/>
      <c r="S79"/>
      <c r="T79"/>
      <c r="U79"/>
      <c r="V79"/>
      <c r="W79"/>
      <c r="X79"/>
      <c r="Y79"/>
    </row>
    <row r="80" spans="1:25" x14ac:dyDescent="0.3">
      <c r="A80" s="174"/>
      <c r="B80" s="187" t="s">
        <v>483</v>
      </c>
      <c r="C80" s="4" t="s">
        <v>58</v>
      </c>
      <c r="D80" s="133" t="s">
        <v>9</v>
      </c>
      <c r="E80" s="1">
        <v>43101</v>
      </c>
      <c r="F80" s="4"/>
      <c r="G80" s="1"/>
      <c r="H80" s="125"/>
      <c r="I80" s="125"/>
      <c r="J80" s="125">
        <v>-113.34</v>
      </c>
      <c r="K80" s="125">
        <v>-113.34</v>
      </c>
      <c r="L80" s="125">
        <f t="shared" si="0"/>
        <v>24519.3</v>
      </c>
      <c r="M80" s="16" t="s">
        <v>90</v>
      </c>
      <c r="N80"/>
      <c r="P80"/>
      <c r="Q80" s="4"/>
      <c r="R80"/>
      <c r="S80"/>
      <c r="T80"/>
      <c r="U80"/>
      <c r="V80"/>
      <c r="W80"/>
      <c r="X80"/>
      <c r="Y80"/>
    </row>
    <row r="81" spans="1:25" x14ac:dyDescent="0.3">
      <c r="A81" s="174"/>
      <c r="B81" s="187" t="s">
        <v>483</v>
      </c>
      <c r="C81" s="4" t="s">
        <v>605</v>
      </c>
      <c r="D81" s="133" t="s">
        <v>512</v>
      </c>
      <c r="E81" s="1"/>
      <c r="F81" s="4"/>
      <c r="G81" s="1"/>
      <c r="H81" s="125">
        <v>59.5</v>
      </c>
      <c r="I81" s="125"/>
      <c r="J81" s="125"/>
      <c r="K81" s="125">
        <v>59.5</v>
      </c>
      <c r="L81" s="125">
        <f t="shared" si="0"/>
        <v>24578.799999999999</v>
      </c>
      <c r="M81" s="18" t="s">
        <v>534</v>
      </c>
      <c r="N81"/>
      <c r="P81"/>
      <c r="Q81" s="4"/>
      <c r="R81"/>
      <c r="S81"/>
      <c r="T81"/>
      <c r="U81"/>
      <c r="V81"/>
      <c r="W81"/>
      <c r="X81"/>
      <c r="Y81"/>
    </row>
    <row r="82" spans="1:25" x14ac:dyDescent="0.3">
      <c r="A82" s="174"/>
      <c r="B82" s="187" t="s">
        <v>483</v>
      </c>
      <c r="C82" s="4" t="s">
        <v>299</v>
      </c>
      <c r="D82" s="133" t="s">
        <v>301</v>
      </c>
      <c r="E82" s="1"/>
      <c r="F82" s="4"/>
      <c r="G82" s="1"/>
      <c r="H82" s="125"/>
      <c r="I82" s="125"/>
      <c r="J82" s="125">
        <v>-34.68</v>
      </c>
      <c r="K82" s="125">
        <v>-34.68</v>
      </c>
      <c r="L82" s="125">
        <f t="shared" si="0"/>
        <v>24544.12</v>
      </c>
      <c r="M82" s="18" t="s">
        <v>90</v>
      </c>
      <c r="N82"/>
      <c r="P82"/>
      <c r="Q82" s="4"/>
      <c r="R82"/>
      <c r="S82"/>
      <c r="T82"/>
      <c r="U82"/>
      <c r="V82"/>
      <c r="W82"/>
      <c r="X82"/>
      <c r="Y82"/>
    </row>
    <row r="83" spans="1:25" x14ac:dyDescent="0.3">
      <c r="A83" s="174"/>
      <c r="B83" s="187" t="s">
        <v>483</v>
      </c>
      <c r="C83" s="4" t="s">
        <v>607</v>
      </c>
      <c r="D83" s="133" t="s">
        <v>11</v>
      </c>
      <c r="E83" s="1"/>
      <c r="F83" s="4"/>
      <c r="G83" s="1"/>
      <c r="H83" s="125"/>
      <c r="I83" s="125"/>
      <c r="J83" s="125">
        <v>-112.48</v>
      </c>
      <c r="K83" s="125">
        <v>-112.48</v>
      </c>
      <c r="L83" s="125">
        <f t="shared" si="0"/>
        <v>24431.64</v>
      </c>
      <c r="M83" s="16" t="s">
        <v>90</v>
      </c>
      <c r="N83"/>
      <c r="P83"/>
      <c r="Q83" s="4"/>
      <c r="R83"/>
      <c r="S83"/>
      <c r="T83"/>
      <c r="U83"/>
      <c r="V83"/>
      <c r="W83"/>
      <c r="X83"/>
      <c r="Y83"/>
    </row>
    <row r="84" spans="1:25" x14ac:dyDescent="0.3">
      <c r="A84" s="174"/>
      <c r="B84" s="187" t="s">
        <v>483</v>
      </c>
      <c r="C84" s="4" t="s">
        <v>234</v>
      </c>
      <c r="D84" s="133" t="s">
        <v>518</v>
      </c>
      <c r="E84" s="1" t="s">
        <v>614</v>
      </c>
      <c r="F84" s="4"/>
      <c r="G84" s="1" t="s">
        <v>523</v>
      </c>
      <c r="H84" s="125"/>
      <c r="I84" s="125"/>
      <c r="J84" s="125">
        <v>-151.09</v>
      </c>
      <c r="K84" s="125">
        <v>-151.09</v>
      </c>
      <c r="L84" s="125">
        <f t="shared" si="0"/>
        <v>24280.55</v>
      </c>
      <c r="M84" s="18" t="s">
        <v>90</v>
      </c>
      <c r="N84"/>
      <c r="P84"/>
      <c r="Q84" s="4"/>
      <c r="R84"/>
      <c r="S84"/>
      <c r="T84"/>
      <c r="U84"/>
      <c r="V84"/>
      <c r="W84"/>
      <c r="X84"/>
      <c r="Y84"/>
    </row>
    <row r="85" spans="1:25" x14ac:dyDescent="0.3">
      <c r="A85" s="3"/>
      <c r="B85" s="187" t="s">
        <v>483</v>
      </c>
      <c r="C85" s="4" t="s">
        <v>560</v>
      </c>
      <c r="D85" s="133" t="s">
        <v>512</v>
      </c>
      <c r="E85" s="1"/>
      <c r="F85" s="4"/>
      <c r="G85" s="1" t="s">
        <v>399</v>
      </c>
      <c r="H85" s="125">
        <v>8</v>
      </c>
      <c r="I85" s="125"/>
      <c r="J85" s="125"/>
      <c r="K85" s="125">
        <v>8</v>
      </c>
      <c r="L85" s="125">
        <f t="shared" si="0"/>
        <v>24288.55</v>
      </c>
      <c r="M85" s="18" t="s">
        <v>412</v>
      </c>
      <c r="N85"/>
      <c r="P85"/>
      <c r="Q85" s="4"/>
      <c r="R85"/>
      <c r="S85"/>
      <c r="T85"/>
      <c r="U85"/>
      <c r="V85"/>
      <c r="W85"/>
      <c r="X85"/>
      <c r="Y85"/>
    </row>
    <row r="86" spans="1:25" x14ac:dyDescent="0.3">
      <c r="A86" s="174"/>
      <c r="B86" s="187" t="s">
        <v>483</v>
      </c>
      <c r="C86" s="4" t="s">
        <v>615</v>
      </c>
      <c r="D86" s="133" t="s">
        <v>513</v>
      </c>
      <c r="E86" s="1"/>
      <c r="F86" s="4"/>
      <c r="G86" s="1" t="s">
        <v>399</v>
      </c>
      <c r="H86" s="190">
        <v>171.5</v>
      </c>
      <c r="I86" s="125"/>
      <c r="J86" s="125"/>
      <c r="K86" s="125">
        <v>171.5</v>
      </c>
      <c r="L86" s="125">
        <f t="shared" si="0"/>
        <v>24460.05</v>
      </c>
      <c r="M86" s="16" t="s">
        <v>412</v>
      </c>
      <c r="N86"/>
      <c r="P86"/>
      <c r="Q86" s="4"/>
      <c r="R86"/>
      <c r="S86"/>
      <c r="T86"/>
      <c r="U86"/>
      <c r="V86"/>
      <c r="W86"/>
      <c r="X86"/>
      <c r="Y86"/>
    </row>
    <row r="87" spans="1:25" x14ac:dyDescent="0.3">
      <c r="A87" s="174"/>
      <c r="B87" s="187" t="s">
        <v>483</v>
      </c>
      <c r="C87" s="4" t="s">
        <v>616</v>
      </c>
      <c r="D87" s="133" t="s">
        <v>518</v>
      </c>
      <c r="E87" s="1" t="s">
        <v>617</v>
      </c>
      <c r="F87" s="1"/>
      <c r="G87" s="1" t="s">
        <v>523</v>
      </c>
      <c r="H87" s="125"/>
      <c r="I87" s="125"/>
      <c r="J87" s="125">
        <v>-165</v>
      </c>
      <c r="K87" s="125">
        <v>-165</v>
      </c>
      <c r="L87" s="125">
        <f t="shared" si="0"/>
        <v>24295.05</v>
      </c>
      <c r="M87" s="18" t="s">
        <v>90</v>
      </c>
      <c r="N87"/>
      <c r="P87"/>
      <c r="Q87" s="4"/>
      <c r="R87"/>
      <c r="S87"/>
      <c r="T87"/>
      <c r="U87"/>
      <c r="V87"/>
      <c r="W87"/>
      <c r="X87"/>
      <c r="Y87"/>
    </row>
    <row r="88" spans="1:25" x14ac:dyDescent="0.3">
      <c r="A88" s="174"/>
      <c r="B88" s="187" t="s">
        <v>483</v>
      </c>
      <c r="C88" s="4" t="s">
        <v>619</v>
      </c>
      <c r="D88" s="133" t="s">
        <v>13</v>
      </c>
      <c r="E88" s="1" t="s">
        <v>618</v>
      </c>
      <c r="F88" s="4"/>
      <c r="G88" s="1">
        <v>500127</v>
      </c>
      <c r="H88" s="125"/>
      <c r="I88" s="125"/>
      <c r="J88" s="125">
        <v>-567</v>
      </c>
      <c r="K88" s="125">
        <v>-567</v>
      </c>
      <c r="L88" s="125">
        <f t="shared" si="0"/>
        <v>23728.05</v>
      </c>
      <c r="M88" s="16" t="s">
        <v>90</v>
      </c>
      <c r="N88"/>
      <c r="P88"/>
      <c r="Q88" s="4"/>
      <c r="R88" s="30" t="s">
        <v>641</v>
      </c>
      <c r="S88" s="30"/>
      <c r="T88" s="30"/>
      <c r="U88" s="30"/>
      <c r="V88"/>
      <c r="W88"/>
      <c r="X88"/>
      <c r="Y88"/>
    </row>
    <row r="89" spans="1:25" x14ac:dyDescent="0.3">
      <c r="A89" s="174"/>
      <c r="B89" s="187" t="s">
        <v>483</v>
      </c>
      <c r="C89" s="4" t="s">
        <v>48</v>
      </c>
      <c r="D89" s="133" t="s">
        <v>12</v>
      </c>
      <c r="E89" s="1"/>
      <c r="F89" s="17"/>
      <c r="G89" s="1"/>
      <c r="H89" s="125"/>
      <c r="I89" s="125"/>
      <c r="J89" s="125">
        <v>-89.82</v>
      </c>
      <c r="K89" s="125">
        <v>-89.82</v>
      </c>
      <c r="L89" s="125">
        <f t="shared" si="0"/>
        <v>23638.23</v>
      </c>
      <c r="M89" s="18" t="s">
        <v>90</v>
      </c>
      <c r="N89"/>
      <c r="P89"/>
      <c r="Q89" s="4"/>
      <c r="R89"/>
      <c r="S89"/>
      <c r="T89"/>
      <c r="U89"/>
      <c r="V89"/>
      <c r="W89"/>
      <c r="X89"/>
      <c r="Y89"/>
    </row>
    <row r="90" spans="1:25" x14ac:dyDescent="0.3">
      <c r="A90" s="3"/>
      <c r="B90" s="187" t="s">
        <v>483</v>
      </c>
      <c r="C90" s="4" t="s">
        <v>87</v>
      </c>
      <c r="D90" s="133" t="s">
        <v>518</v>
      </c>
      <c r="E90" s="1" t="s">
        <v>624</v>
      </c>
      <c r="F90" s="1"/>
      <c r="G90" s="1"/>
      <c r="H90" s="125"/>
      <c r="I90" s="125"/>
      <c r="J90" s="125">
        <v>-319.2</v>
      </c>
      <c r="K90" s="125">
        <v>-319.2</v>
      </c>
      <c r="L90" s="125">
        <f t="shared" si="0"/>
        <v>23319.03</v>
      </c>
      <c r="M90" s="18" t="s">
        <v>90</v>
      </c>
      <c r="N90"/>
      <c r="P90"/>
      <c r="Q90" s="4"/>
      <c r="R90" t="s">
        <v>584</v>
      </c>
      <c r="S90"/>
      <c r="T90"/>
      <c r="U90"/>
      <c r="V90">
        <v>23854.63</v>
      </c>
      <c r="W90"/>
      <c r="X90"/>
      <c r="Y90"/>
    </row>
    <row r="91" spans="1:25" x14ac:dyDescent="0.3">
      <c r="A91" s="3"/>
      <c r="B91" s="187" t="s">
        <v>483</v>
      </c>
      <c r="C91" s="237" t="s">
        <v>604</v>
      </c>
      <c r="D91" s="133" t="s">
        <v>512</v>
      </c>
      <c r="E91" s="1" t="s">
        <v>625</v>
      </c>
      <c r="F91" s="1"/>
      <c r="G91" s="1">
        <v>500173</v>
      </c>
      <c r="H91" s="125"/>
      <c r="I91" s="125"/>
      <c r="J91" s="125">
        <v>-17</v>
      </c>
      <c r="K91" s="125">
        <v>-17</v>
      </c>
      <c r="L91" s="125">
        <f t="shared" si="0"/>
        <v>23302.03</v>
      </c>
      <c r="M91" s="16" t="s">
        <v>90</v>
      </c>
      <c r="N91"/>
      <c r="P91"/>
      <c r="Q91" s="4"/>
      <c r="R91"/>
      <c r="S91"/>
      <c r="T91"/>
      <c r="U91"/>
      <c r="V91"/>
      <c r="W91"/>
      <c r="X91"/>
      <c r="Y91"/>
    </row>
    <row r="92" spans="1:25" x14ac:dyDescent="0.3">
      <c r="A92" s="3"/>
      <c r="B92" s="187" t="s">
        <v>483</v>
      </c>
      <c r="C92" s="4" t="s">
        <v>626</v>
      </c>
      <c r="D92" s="133" t="s">
        <v>514</v>
      </c>
      <c r="E92" s="1" t="s">
        <v>117</v>
      </c>
      <c r="F92" s="4"/>
      <c r="G92" s="1"/>
      <c r="H92" s="125">
        <v>120</v>
      </c>
      <c r="I92" s="125"/>
      <c r="J92" s="125"/>
      <c r="K92" s="125">
        <v>120</v>
      </c>
      <c r="L92" s="125">
        <f t="shared" si="0"/>
        <v>23422.03</v>
      </c>
      <c r="M92" s="16" t="s">
        <v>90</v>
      </c>
      <c r="N92" s="18"/>
      <c r="P92"/>
      <c r="Q92" s="4"/>
      <c r="R92" t="s">
        <v>650</v>
      </c>
      <c r="S92"/>
      <c r="T92"/>
      <c r="U92" s="125"/>
      <c r="V92"/>
      <c r="W92"/>
      <c r="X92"/>
      <c r="Y92"/>
    </row>
    <row r="93" spans="1:25" x14ac:dyDescent="0.3">
      <c r="A93" s="3"/>
      <c r="B93" s="187" t="s">
        <v>483</v>
      </c>
      <c r="C93" s="4" t="s">
        <v>628</v>
      </c>
      <c r="D93" s="133" t="s">
        <v>512</v>
      </c>
      <c r="E93" s="1" t="s">
        <v>629</v>
      </c>
      <c r="F93" s="1"/>
      <c r="G93" s="1"/>
      <c r="H93" s="125">
        <v>68</v>
      </c>
      <c r="I93" s="125"/>
      <c r="J93" s="125"/>
      <c r="K93" s="125">
        <v>68</v>
      </c>
      <c r="L93" s="125">
        <f t="shared" si="0"/>
        <v>23490.03</v>
      </c>
      <c r="M93" s="16" t="s">
        <v>534</v>
      </c>
      <c r="N93" s="18"/>
      <c r="P93"/>
      <c r="Q93" s="4"/>
      <c r="R93" t="s">
        <v>596</v>
      </c>
      <c r="S93"/>
      <c r="T93"/>
      <c r="U93" s="125">
        <v>8</v>
      </c>
      <c r="V93"/>
      <c r="W93"/>
      <c r="X93"/>
      <c r="Y93"/>
    </row>
    <row r="94" spans="1:25" x14ac:dyDescent="0.3">
      <c r="A94" s="3"/>
      <c r="B94" s="187" t="s">
        <v>483</v>
      </c>
      <c r="C94" s="4" t="s">
        <v>628</v>
      </c>
      <c r="D94" s="133" t="s">
        <v>500</v>
      </c>
      <c r="E94" s="191" t="s">
        <v>627</v>
      </c>
      <c r="F94" s="4"/>
      <c r="G94" s="1"/>
      <c r="H94" s="192">
        <v>50</v>
      </c>
      <c r="I94" s="125"/>
      <c r="J94" s="125"/>
      <c r="K94" s="125">
        <v>50</v>
      </c>
      <c r="L94" s="125">
        <f t="shared" si="0"/>
        <v>23540.03</v>
      </c>
      <c r="M94" s="16" t="s">
        <v>534</v>
      </c>
      <c r="N94" s="18"/>
      <c r="P94"/>
      <c r="Q94" s="4"/>
      <c r="R94"/>
      <c r="S94"/>
      <c r="T94"/>
      <c r="U94" s="125"/>
      <c r="V94" s="125"/>
      <c r="W94"/>
      <c r="X94"/>
      <c r="Y94"/>
    </row>
    <row r="95" spans="1:25" x14ac:dyDescent="0.3">
      <c r="A95" s="3"/>
      <c r="B95" s="187" t="s">
        <v>483</v>
      </c>
      <c r="C95" s="4" t="s">
        <v>630</v>
      </c>
      <c r="D95" s="133" t="s">
        <v>512</v>
      </c>
      <c r="E95" s="1"/>
      <c r="F95" s="4"/>
      <c r="G95" s="1"/>
      <c r="H95" s="125">
        <v>10</v>
      </c>
      <c r="I95" s="125"/>
      <c r="J95" s="125"/>
      <c r="K95" s="125">
        <v>10</v>
      </c>
      <c r="L95" s="125">
        <f t="shared" ref="L95:L158" si="1">+L94+K95</f>
        <v>23550.03</v>
      </c>
      <c r="M95" s="16" t="s">
        <v>534</v>
      </c>
      <c r="N95" s="18"/>
      <c r="P95"/>
      <c r="Q95" s="4"/>
      <c r="R95"/>
      <c r="S95"/>
      <c r="T95"/>
      <c r="U95" s="125"/>
      <c r="V95" s="125">
        <v>8</v>
      </c>
      <c r="W95"/>
      <c r="X95"/>
      <c r="Y95"/>
    </row>
    <row r="96" spans="1:25" x14ac:dyDescent="0.3">
      <c r="A96" s="3"/>
      <c r="B96" s="187" t="s">
        <v>483</v>
      </c>
      <c r="C96" s="4" t="s">
        <v>631</v>
      </c>
      <c r="D96" s="133" t="s">
        <v>512</v>
      </c>
      <c r="E96" s="1" t="s">
        <v>632</v>
      </c>
      <c r="F96" s="4"/>
      <c r="G96" s="1"/>
      <c r="H96" s="125">
        <v>51</v>
      </c>
      <c r="I96" s="125"/>
      <c r="J96" s="125"/>
      <c r="K96" s="125">
        <v>51</v>
      </c>
      <c r="L96" s="125">
        <f t="shared" si="1"/>
        <v>23601.03</v>
      </c>
      <c r="M96" s="16" t="s">
        <v>90</v>
      </c>
      <c r="N96" s="18"/>
      <c r="P96"/>
      <c r="Q96" s="4"/>
      <c r="R96"/>
      <c r="S96"/>
      <c r="T96"/>
      <c r="U96" s="125"/>
      <c r="V96"/>
      <c r="W96"/>
      <c r="X96"/>
      <c r="Y96"/>
    </row>
    <row r="97" spans="1:25" x14ac:dyDescent="0.3">
      <c r="A97" s="3"/>
      <c r="B97" s="187" t="s">
        <v>483</v>
      </c>
      <c r="C97" s="4" t="s">
        <v>634</v>
      </c>
      <c r="D97" s="133" t="s">
        <v>512</v>
      </c>
      <c r="E97" s="1" t="s">
        <v>635</v>
      </c>
      <c r="F97" s="4"/>
      <c r="G97" s="1"/>
      <c r="H97" s="125">
        <v>133</v>
      </c>
      <c r="I97" s="125"/>
      <c r="J97" s="125"/>
      <c r="K97" s="125">
        <v>133</v>
      </c>
      <c r="L97" s="125">
        <f t="shared" si="1"/>
        <v>23734.03</v>
      </c>
      <c r="M97" s="16" t="s">
        <v>412</v>
      </c>
      <c r="N97" s="18"/>
      <c r="P97"/>
      <c r="Q97" s="4"/>
      <c r="R97"/>
      <c r="S97"/>
      <c r="T97"/>
      <c r="U97" s="125"/>
      <c r="V97"/>
      <c r="W97"/>
      <c r="X97"/>
      <c r="Y97"/>
    </row>
    <row r="98" spans="1:25" x14ac:dyDescent="0.3">
      <c r="A98" s="3"/>
      <c r="B98" s="187" t="s">
        <v>483</v>
      </c>
      <c r="C98" s="4" t="s">
        <v>634</v>
      </c>
      <c r="D98" s="133" t="s">
        <v>500</v>
      </c>
      <c r="E98" s="191" t="s">
        <v>636</v>
      </c>
      <c r="F98" s="4"/>
      <c r="G98" s="1"/>
      <c r="H98" s="192">
        <v>50</v>
      </c>
      <c r="I98" s="125"/>
      <c r="J98" s="125"/>
      <c r="K98" s="125">
        <v>50</v>
      </c>
      <c r="L98" s="125">
        <f t="shared" si="1"/>
        <v>23784.03</v>
      </c>
      <c r="M98" s="16" t="s">
        <v>412</v>
      </c>
      <c r="N98" s="18"/>
      <c r="P98"/>
      <c r="Q98" s="4"/>
      <c r="R98" t="s">
        <v>586</v>
      </c>
      <c r="S98"/>
      <c r="T98"/>
      <c r="U98" s="125"/>
      <c r="V98"/>
      <c r="W98"/>
      <c r="X98"/>
      <c r="Y98"/>
    </row>
    <row r="99" spans="1:25" x14ac:dyDescent="0.3">
      <c r="A99" s="3"/>
      <c r="B99" s="187" t="s">
        <v>483</v>
      </c>
      <c r="C99" s="4" t="s">
        <v>637</v>
      </c>
      <c r="D99" s="133" t="s">
        <v>512</v>
      </c>
      <c r="E99" s="1" t="s">
        <v>557</v>
      </c>
      <c r="F99" s="4"/>
      <c r="G99" s="1"/>
      <c r="H99" s="125">
        <v>36</v>
      </c>
      <c r="I99" s="125"/>
      <c r="J99" s="125"/>
      <c r="K99" s="125">
        <v>36</v>
      </c>
      <c r="L99" s="125">
        <f t="shared" si="1"/>
        <v>23820.03</v>
      </c>
      <c r="M99" s="16" t="s">
        <v>90</v>
      </c>
      <c r="N99" s="18"/>
      <c r="P99"/>
      <c r="Q99" s="4"/>
      <c r="R99"/>
      <c r="S99">
        <v>500125</v>
      </c>
      <c r="T99"/>
      <c r="U99" s="125">
        <v>-20</v>
      </c>
      <c r="V99"/>
      <c r="W99"/>
      <c r="X99"/>
      <c r="Y99"/>
    </row>
    <row r="100" spans="1:25" x14ac:dyDescent="0.3">
      <c r="A100" s="3"/>
      <c r="B100" s="187" t="s">
        <v>483</v>
      </c>
      <c r="C100" s="4" t="s">
        <v>638</v>
      </c>
      <c r="D100" s="133" t="s">
        <v>512</v>
      </c>
      <c r="E100" s="1" t="s">
        <v>639</v>
      </c>
      <c r="F100" s="4"/>
      <c r="G100" s="1"/>
      <c r="H100" s="125">
        <v>51</v>
      </c>
      <c r="I100" s="125"/>
      <c r="J100" s="125"/>
      <c r="K100" s="125">
        <v>51</v>
      </c>
      <c r="L100" s="125">
        <f t="shared" si="1"/>
        <v>23871.03</v>
      </c>
      <c r="M100" s="16" t="s">
        <v>412</v>
      </c>
      <c r="N100" s="18"/>
      <c r="P100"/>
      <c r="Q100" s="4"/>
      <c r="R100"/>
      <c r="S100">
        <v>500172</v>
      </c>
      <c r="T100"/>
      <c r="U100" s="125">
        <v>-50</v>
      </c>
      <c r="V100" s="125"/>
      <c r="W100" t="s">
        <v>90</v>
      </c>
      <c r="X100"/>
      <c r="Y100"/>
    </row>
    <row r="101" spans="1:25" x14ac:dyDescent="0.3">
      <c r="A101" s="3"/>
      <c r="B101" s="187" t="s">
        <v>483</v>
      </c>
      <c r="C101" s="4" t="s">
        <v>638</v>
      </c>
      <c r="D101" s="133" t="s">
        <v>500</v>
      </c>
      <c r="E101" s="191" t="s">
        <v>249</v>
      </c>
      <c r="F101" s="4"/>
      <c r="G101" s="193"/>
      <c r="H101" s="192">
        <v>50</v>
      </c>
      <c r="I101" s="125"/>
      <c r="J101" s="125"/>
      <c r="K101" s="125">
        <v>50</v>
      </c>
      <c r="L101" s="125">
        <f t="shared" si="1"/>
        <v>23921.03</v>
      </c>
      <c r="M101" s="16" t="s">
        <v>412</v>
      </c>
      <c r="N101" s="18"/>
      <c r="P101"/>
      <c r="Q101" s="4"/>
      <c r="R101"/>
      <c r="S101">
        <v>500174</v>
      </c>
      <c r="T101"/>
      <c r="U101">
        <v>-25</v>
      </c>
      <c r="V101"/>
      <c r="W101" t="s">
        <v>90</v>
      </c>
      <c r="X101"/>
      <c r="Y101"/>
    </row>
    <row r="102" spans="1:25" x14ac:dyDescent="0.3">
      <c r="A102" s="3"/>
      <c r="B102" s="187" t="s">
        <v>483</v>
      </c>
      <c r="C102" s="4" t="s">
        <v>573</v>
      </c>
      <c r="D102" s="133" t="s">
        <v>512</v>
      </c>
      <c r="E102" s="1" t="s">
        <v>640</v>
      </c>
      <c r="F102" s="4"/>
      <c r="G102" s="1"/>
      <c r="H102" s="125">
        <v>300</v>
      </c>
      <c r="I102" s="125"/>
      <c r="J102" s="125"/>
      <c r="K102" s="125">
        <v>300</v>
      </c>
      <c r="L102" s="125">
        <f t="shared" si="1"/>
        <v>24221.03</v>
      </c>
      <c r="M102" s="16" t="s">
        <v>412</v>
      </c>
      <c r="N102" s="18"/>
      <c r="P102"/>
      <c r="Q102" s="4"/>
      <c r="R102"/>
      <c r="S102">
        <v>500175</v>
      </c>
      <c r="T102"/>
      <c r="U102" s="125">
        <v>-50</v>
      </c>
      <c r="V102" s="125">
        <v>-145</v>
      </c>
      <c r="W102" t="s">
        <v>90</v>
      </c>
      <c r="X102"/>
      <c r="Y102"/>
    </row>
    <row r="103" spans="1:25" x14ac:dyDescent="0.3">
      <c r="A103" s="3"/>
      <c r="B103" s="187" t="s">
        <v>483</v>
      </c>
      <c r="C103" s="4" t="s">
        <v>573</v>
      </c>
      <c r="D103" s="133" t="s">
        <v>500</v>
      </c>
      <c r="E103" s="191" t="s">
        <v>250</v>
      </c>
      <c r="F103" s="4"/>
      <c r="G103" s="193"/>
      <c r="H103" s="192">
        <v>100</v>
      </c>
      <c r="I103" s="125"/>
      <c r="J103" s="125"/>
      <c r="K103" s="125">
        <v>100</v>
      </c>
      <c r="L103" s="125">
        <f t="shared" si="1"/>
        <v>24321.03</v>
      </c>
      <c r="M103" s="16" t="s">
        <v>412</v>
      </c>
      <c r="N103" s="18"/>
      <c r="P103"/>
      <c r="Q103" s="4"/>
      <c r="R103"/>
      <c r="S103"/>
      <c r="T103"/>
      <c r="U103"/>
      <c r="V103"/>
      <c r="W103"/>
      <c r="X103"/>
      <c r="Y103"/>
    </row>
    <row r="104" spans="1:25" x14ac:dyDescent="0.3">
      <c r="A104" s="3"/>
      <c r="B104" s="187" t="s">
        <v>483</v>
      </c>
      <c r="C104" s="4" t="s">
        <v>642</v>
      </c>
      <c r="D104" s="133" t="s">
        <v>504</v>
      </c>
      <c r="E104" s="191" t="s">
        <v>644</v>
      </c>
      <c r="F104" s="4"/>
      <c r="G104" s="1">
        <v>500174</v>
      </c>
      <c r="H104" s="125"/>
      <c r="I104" s="125"/>
      <c r="J104" s="192">
        <v>-25</v>
      </c>
      <c r="K104" s="125">
        <v>-25</v>
      </c>
      <c r="L104" s="125">
        <f t="shared" si="1"/>
        <v>24296.03</v>
      </c>
      <c r="M104" s="16" t="s">
        <v>666</v>
      </c>
      <c r="N104" s="18"/>
      <c r="P104"/>
      <c r="Q104" s="4"/>
      <c r="R104"/>
      <c r="S104"/>
      <c r="T104"/>
      <c r="U104"/>
      <c r="V104"/>
      <c r="W104"/>
      <c r="X104"/>
      <c r="Y104"/>
    </row>
    <row r="105" spans="1:25" x14ac:dyDescent="0.3">
      <c r="A105" s="3"/>
      <c r="B105" s="187" t="s">
        <v>483</v>
      </c>
      <c r="C105" s="4" t="s">
        <v>643</v>
      </c>
      <c r="D105" s="133" t="s">
        <v>504</v>
      </c>
      <c r="E105" s="191" t="s">
        <v>667</v>
      </c>
      <c r="F105" s="4"/>
      <c r="G105" s="1">
        <v>500175</v>
      </c>
      <c r="H105" s="125"/>
      <c r="I105" s="125"/>
      <c r="J105" s="192">
        <v>-50</v>
      </c>
      <c r="K105" s="125">
        <v>-50</v>
      </c>
      <c r="L105" s="125">
        <f t="shared" si="1"/>
        <v>24246.03</v>
      </c>
      <c r="M105" s="16" t="s">
        <v>666</v>
      </c>
      <c r="N105" s="18"/>
      <c r="P105"/>
      <c r="Q105" s="4"/>
      <c r="R105"/>
      <c r="S105"/>
      <c r="T105"/>
      <c r="U105"/>
      <c r="V105"/>
      <c r="W105"/>
      <c r="X105"/>
      <c r="Y105"/>
    </row>
    <row r="106" spans="1:25" x14ac:dyDescent="0.3">
      <c r="A106" s="3"/>
      <c r="B106" s="187" t="s">
        <v>483</v>
      </c>
      <c r="C106" s="4" t="s">
        <v>87</v>
      </c>
      <c r="D106" s="133" t="s">
        <v>518</v>
      </c>
      <c r="E106" s="1" t="s">
        <v>645</v>
      </c>
      <c r="F106" s="4"/>
      <c r="G106" s="1"/>
      <c r="H106" s="125"/>
      <c r="I106" s="125"/>
      <c r="J106" s="125">
        <v>-240</v>
      </c>
      <c r="K106" s="125">
        <v>-240</v>
      </c>
      <c r="L106" s="125">
        <f t="shared" si="1"/>
        <v>24006.03</v>
      </c>
      <c r="M106" s="16" t="s">
        <v>90</v>
      </c>
      <c r="N106" s="18"/>
      <c r="P106"/>
      <c r="Q106" s="4"/>
      <c r="R106"/>
      <c r="S106"/>
      <c r="T106"/>
      <c r="U106"/>
      <c r="V106"/>
      <c r="W106"/>
      <c r="X106"/>
      <c r="Y106"/>
    </row>
    <row r="107" spans="1:25" x14ac:dyDescent="0.3">
      <c r="A107" s="3"/>
      <c r="B107" s="187" t="s">
        <v>483</v>
      </c>
      <c r="C107" s="4" t="s">
        <v>533</v>
      </c>
      <c r="D107" s="133" t="s">
        <v>12</v>
      </c>
      <c r="E107" s="1" t="s">
        <v>648</v>
      </c>
      <c r="F107" s="4"/>
      <c r="G107" s="1"/>
      <c r="H107" s="125"/>
      <c r="I107" s="125"/>
      <c r="J107" s="125">
        <v>-288.39999999999998</v>
      </c>
      <c r="K107" s="125">
        <v>-288.39999999999998</v>
      </c>
      <c r="L107" s="125">
        <f t="shared" si="1"/>
        <v>23717.629999999997</v>
      </c>
      <c r="M107" s="16" t="s">
        <v>90</v>
      </c>
      <c r="N107" s="18"/>
      <c r="P107"/>
      <c r="Q107" s="4"/>
      <c r="R107"/>
      <c r="S107"/>
      <c r="T107"/>
      <c r="U107"/>
      <c r="V107"/>
      <c r="W107"/>
      <c r="X107"/>
      <c r="Y107"/>
    </row>
    <row r="108" spans="1:25" x14ac:dyDescent="0.3">
      <c r="A108" s="174"/>
      <c r="B108" s="194"/>
      <c r="C108" s="4"/>
      <c r="D108" s="4"/>
      <c r="E108" s="1"/>
      <c r="F108" s="4"/>
      <c r="G108" s="1"/>
      <c r="H108" s="125"/>
      <c r="I108" s="125"/>
      <c r="J108" s="125"/>
      <c r="K108" s="125"/>
      <c r="L108" s="125">
        <f t="shared" si="1"/>
        <v>23717.629999999997</v>
      </c>
      <c r="N108"/>
      <c r="P108"/>
      <c r="Q108" s="4"/>
      <c r="R108" t="s">
        <v>652</v>
      </c>
      <c r="S108"/>
      <c r="T108"/>
      <c r="U108"/>
      <c r="V108">
        <v>23717.63</v>
      </c>
      <c r="W108"/>
      <c r="X108" t="s">
        <v>588</v>
      </c>
      <c r="Y108"/>
    </row>
    <row r="109" spans="1:25" x14ac:dyDescent="0.3">
      <c r="A109" s="3"/>
      <c r="B109" s="187"/>
      <c r="C109" s="4"/>
      <c r="D109" s="4"/>
      <c r="E109" s="1"/>
      <c r="F109" s="4"/>
      <c r="G109" s="1"/>
      <c r="H109" s="125"/>
      <c r="I109" s="125"/>
      <c r="J109" s="125"/>
      <c r="K109" s="125"/>
      <c r="L109" s="125">
        <f t="shared" si="1"/>
        <v>23717.629999999997</v>
      </c>
      <c r="N109"/>
      <c r="P109"/>
      <c r="Q109" s="4"/>
      <c r="R109"/>
      <c r="S109"/>
      <c r="T109"/>
      <c r="U109"/>
      <c r="V109"/>
      <c r="W109"/>
      <c r="X109"/>
      <c r="Y109"/>
    </row>
    <row r="110" spans="1:25" x14ac:dyDescent="0.3">
      <c r="A110" s="28" t="s">
        <v>79</v>
      </c>
      <c r="B110" s="187"/>
      <c r="C110" s="4"/>
      <c r="D110" s="4"/>
      <c r="E110" s="1"/>
      <c r="F110"/>
      <c r="G110" s="1"/>
      <c r="H110" s="125"/>
      <c r="I110" s="125"/>
      <c r="J110" s="125"/>
      <c r="K110" s="125"/>
      <c r="L110" s="125">
        <f t="shared" si="1"/>
        <v>23717.629999999997</v>
      </c>
      <c r="N110"/>
      <c r="P110"/>
      <c r="Q110" s="4"/>
      <c r="R110"/>
      <c r="S110"/>
      <c r="T110"/>
      <c r="U110"/>
      <c r="V110"/>
      <c r="W110"/>
      <c r="X110"/>
      <c r="Y110"/>
    </row>
    <row r="111" spans="1:25" x14ac:dyDescent="0.3">
      <c r="A111" s="3"/>
      <c r="B111" s="187" t="s">
        <v>484</v>
      </c>
      <c r="C111" s="4" t="s">
        <v>646</v>
      </c>
      <c r="D111" s="133" t="s">
        <v>623</v>
      </c>
      <c r="E111" s="1" t="s">
        <v>647</v>
      </c>
      <c r="F111" s="1"/>
      <c r="G111" s="1"/>
      <c r="H111" s="125"/>
      <c r="I111" s="125"/>
      <c r="J111" s="125">
        <v>-46.8</v>
      </c>
      <c r="K111" s="125">
        <v>-46.8</v>
      </c>
      <c r="L111" s="125">
        <f t="shared" si="1"/>
        <v>23670.829999999998</v>
      </c>
      <c r="M111" s="18" t="s">
        <v>90</v>
      </c>
      <c r="N111"/>
      <c r="P111"/>
      <c r="Q111" s="4"/>
      <c r="R111"/>
      <c r="S111"/>
      <c r="T111"/>
      <c r="U111"/>
      <c r="V111"/>
      <c r="W111"/>
      <c r="X111"/>
      <c r="Y111"/>
    </row>
    <row r="112" spans="1:25" x14ac:dyDescent="0.3">
      <c r="A112" s="174"/>
      <c r="B112" s="187" t="s">
        <v>484</v>
      </c>
      <c r="C112" s="4" t="s">
        <v>533</v>
      </c>
      <c r="D112" s="133" t="s">
        <v>12</v>
      </c>
      <c r="E112" s="1" t="s">
        <v>649</v>
      </c>
      <c r="F112" s="4"/>
      <c r="G112" s="1"/>
      <c r="H112" s="125"/>
      <c r="I112" s="125"/>
      <c r="J112" s="125">
        <v>-288.39999999999998</v>
      </c>
      <c r="K112" s="125">
        <v>-288.39999999999998</v>
      </c>
      <c r="L112" s="125">
        <f t="shared" si="1"/>
        <v>23382.429999999997</v>
      </c>
      <c r="M112" s="18" t="s">
        <v>90</v>
      </c>
      <c r="N112"/>
      <c r="P112"/>
      <c r="Q112" s="4"/>
      <c r="R112"/>
      <c r="S112"/>
      <c r="T112"/>
      <c r="U112"/>
      <c r="V112"/>
      <c r="W112"/>
      <c r="X112"/>
      <c r="Y112"/>
    </row>
    <row r="113" spans="1:25" x14ac:dyDescent="0.3">
      <c r="A113" s="195"/>
      <c r="B113" s="187" t="s">
        <v>484</v>
      </c>
      <c r="C113" s="4" t="s">
        <v>299</v>
      </c>
      <c r="D113" s="133" t="s">
        <v>301</v>
      </c>
      <c r="E113" s="1"/>
      <c r="F113" s="4"/>
      <c r="G113" s="1"/>
      <c r="H113" s="125"/>
      <c r="I113" s="125"/>
      <c r="J113" s="125">
        <v>-34.68</v>
      </c>
      <c r="K113" s="125">
        <v>-34.68</v>
      </c>
      <c r="L113" s="125">
        <f t="shared" si="1"/>
        <v>23347.749999999996</v>
      </c>
      <c r="M113" s="18" t="s">
        <v>90</v>
      </c>
      <c r="N113"/>
      <c r="P113"/>
      <c r="Q113" s="4"/>
      <c r="R113"/>
      <c r="S113"/>
      <c r="T113"/>
      <c r="U113"/>
      <c r="V113"/>
      <c r="W113"/>
      <c r="X113"/>
      <c r="Y113"/>
    </row>
    <row r="114" spans="1:25" x14ac:dyDescent="0.3">
      <c r="A114" s="195"/>
      <c r="B114" s="187" t="s">
        <v>484</v>
      </c>
      <c r="C114" s="4" t="s">
        <v>607</v>
      </c>
      <c r="D114" s="133" t="s">
        <v>11</v>
      </c>
      <c r="E114" s="1"/>
      <c r="F114" s="4"/>
      <c r="G114" s="1"/>
      <c r="H114" s="125"/>
      <c r="I114" s="125"/>
      <c r="J114" s="125">
        <v>-112.48</v>
      </c>
      <c r="K114" s="125">
        <v>-112.48</v>
      </c>
      <c r="L114" s="125">
        <f t="shared" si="1"/>
        <v>23235.269999999997</v>
      </c>
      <c r="M114" s="18" t="s">
        <v>90</v>
      </c>
      <c r="N114"/>
      <c r="P114"/>
      <c r="Q114" s="4"/>
      <c r="R114" s="30" t="s">
        <v>651</v>
      </c>
      <c r="S114" s="30"/>
      <c r="T114" s="30"/>
      <c r="U114"/>
      <c r="V114"/>
      <c r="W114"/>
      <c r="X114"/>
      <c r="Y114"/>
    </row>
    <row r="115" spans="1:25" x14ac:dyDescent="0.3">
      <c r="A115" s="174"/>
      <c r="B115" s="187" t="s">
        <v>484</v>
      </c>
      <c r="C115" s="4" t="s">
        <v>48</v>
      </c>
      <c r="D115" s="133" t="s">
        <v>12</v>
      </c>
      <c r="E115" s="1"/>
      <c r="F115" s="17"/>
      <c r="G115" s="1"/>
      <c r="H115" s="125"/>
      <c r="I115" s="125"/>
      <c r="J115" s="125">
        <v>-89.82</v>
      </c>
      <c r="K115" s="125">
        <v>-89.82</v>
      </c>
      <c r="L115" s="125">
        <f t="shared" si="1"/>
        <v>23145.449999999997</v>
      </c>
      <c r="M115" s="16" t="s">
        <v>90</v>
      </c>
      <c r="N115"/>
      <c r="P115"/>
      <c r="Q115" s="4"/>
      <c r="R115"/>
      <c r="S115"/>
      <c r="T115"/>
      <c r="U115"/>
      <c r="V115"/>
      <c r="W115"/>
      <c r="X115"/>
      <c r="Y115"/>
    </row>
    <row r="116" spans="1:25" x14ac:dyDescent="0.3">
      <c r="A116" s="174"/>
      <c r="B116" s="187" t="s">
        <v>484</v>
      </c>
      <c r="C116" s="4" t="s">
        <v>653</v>
      </c>
      <c r="D116" s="133" t="s">
        <v>512</v>
      </c>
      <c r="E116" s="1"/>
      <c r="F116" s="4"/>
      <c r="G116" s="1"/>
      <c r="H116" s="125">
        <v>8</v>
      </c>
      <c r="I116" s="125"/>
      <c r="J116" s="125"/>
      <c r="K116" s="125">
        <v>8</v>
      </c>
      <c r="L116" s="125">
        <f t="shared" si="1"/>
        <v>23153.449999999997</v>
      </c>
      <c r="M116" s="16" t="s">
        <v>90</v>
      </c>
      <c r="N116"/>
      <c r="P116"/>
      <c r="Q116" s="4"/>
      <c r="R116" t="s">
        <v>584</v>
      </c>
      <c r="S116"/>
      <c r="T116"/>
      <c r="U116"/>
      <c r="V116">
        <v>23274.42</v>
      </c>
      <c r="W116"/>
      <c r="X116"/>
      <c r="Y116"/>
    </row>
    <row r="117" spans="1:25" x14ac:dyDescent="0.3">
      <c r="A117" s="174"/>
      <c r="B117" s="187" t="s">
        <v>484</v>
      </c>
      <c r="C117" s="4" t="s">
        <v>604</v>
      </c>
      <c r="D117" s="133" t="s">
        <v>512</v>
      </c>
      <c r="E117" s="1"/>
      <c r="F117" s="4"/>
      <c r="G117" s="1"/>
      <c r="H117" s="125">
        <v>51</v>
      </c>
      <c r="I117" s="125"/>
      <c r="J117" s="125"/>
      <c r="K117" s="125">
        <v>51</v>
      </c>
      <c r="L117" s="125">
        <f t="shared" si="1"/>
        <v>23204.449999999997</v>
      </c>
      <c r="M117" s="18" t="s">
        <v>90</v>
      </c>
      <c r="N117"/>
      <c r="P117"/>
      <c r="Q117" s="4"/>
      <c r="R117"/>
      <c r="S117"/>
      <c r="T117"/>
      <c r="U117"/>
      <c r="V117"/>
      <c r="W117"/>
      <c r="X117"/>
      <c r="Y117"/>
    </row>
    <row r="118" spans="1:25" x14ac:dyDescent="0.3">
      <c r="A118" s="3"/>
      <c r="B118" s="187" t="s">
        <v>484</v>
      </c>
      <c r="C118" s="4" t="s">
        <v>654</v>
      </c>
      <c r="D118" s="133" t="s">
        <v>9</v>
      </c>
      <c r="E118" s="1" t="s">
        <v>747</v>
      </c>
      <c r="F118" s="4"/>
      <c r="G118" s="1"/>
      <c r="H118" s="125"/>
      <c r="I118" s="125"/>
      <c r="J118" s="125">
        <v>-122.25</v>
      </c>
      <c r="K118" s="125">
        <v>-122.25</v>
      </c>
      <c r="L118" s="125">
        <f t="shared" si="1"/>
        <v>23082.199999999997</v>
      </c>
      <c r="M118" s="18" t="s">
        <v>90</v>
      </c>
      <c r="N118"/>
      <c r="P118"/>
      <c r="Q118" s="4"/>
      <c r="R118" t="s">
        <v>650</v>
      </c>
      <c r="S118"/>
      <c r="T118"/>
      <c r="U118" s="125"/>
      <c r="V118"/>
      <c r="W118"/>
      <c r="X118"/>
      <c r="Y118"/>
    </row>
    <row r="119" spans="1:25" x14ac:dyDescent="0.3">
      <c r="A119" s="3"/>
      <c r="B119" s="187" t="s">
        <v>484</v>
      </c>
      <c r="C119" s="4" t="s">
        <v>655</v>
      </c>
      <c r="D119" s="133" t="s">
        <v>500</v>
      </c>
      <c r="E119" s="191" t="s">
        <v>257</v>
      </c>
      <c r="F119" s="4"/>
      <c r="G119" s="193"/>
      <c r="H119" s="192">
        <v>50</v>
      </c>
      <c r="I119" s="125"/>
      <c r="J119" s="125"/>
      <c r="K119" s="125">
        <v>50</v>
      </c>
      <c r="L119" s="125">
        <f t="shared" si="1"/>
        <v>23132.199999999997</v>
      </c>
      <c r="M119" s="18" t="s">
        <v>412</v>
      </c>
      <c r="N119"/>
      <c r="P119"/>
      <c r="Q119" s="4"/>
      <c r="R119" t="s">
        <v>596</v>
      </c>
      <c r="S119"/>
      <c r="T119"/>
      <c r="U119" s="125">
        <v>8</v>
      </c>
      <c r="V119"/>
      <c r="W119"/>
      <c r="X119"/>
      <c r="Y119"/>
    </row>
    <row r="120" spans="1:25" x14ac:dyDescent="0.3">
      <c r="A120" s="174"/>
      <c r="B120" s="187" t="s">
        <v>484</v>
      </c>
      <c r="C120" s="4" t="s">
        <v>655</v>
      </c>
      <c r="D120" s="133" t="s">
        <v>512</v>
      </c>
      <c r="E120" s="1" t="s">
        <v>656</v>
      </c>
      <c r="F120" s="4"/>
      <c r="G120" s="1" t="s">
        <v>399</v>
      </c>
      <c r="H120" s="125">
        <v>51</v>
      </c>
      <c r="I120" s="125"/>
      <c r="J120" s="125"/>
      <c r="K120" s="125">
        <v>51</v>
      </c>
      <c r="L120" s="125">
        <f t="shared" si="1"/>
        <v>23183.199999999997</v>
      </c>
      <c r="M120" s="18" t="s">
        <v>412</v>
      </c>
      <c r="N120"/>
      <c r="P120"/>
      <c r="Q120" s="4"/>
      <c r="R120" t="s">
        <v>670</v>
      </c>
      <c r="S120"/>
      <c r="T120"/>
      <c r="U120" s="125">
        <v>51</v>
      </c>
      <c r="V120" s="125"/>
      <c r="W120" t="s">
        <v>90</v>
      </c>
      <c r="X120"/>
      <c r="Y120"/>
    </row>
    <row r="121" spans="1:25" x14ac:dyDescent="0.3">
      <c r="A121" s="3"/>
      <c r="B121" s="187" t="s">
        <v>484</v>
      </c>
      <c r="C121" s="4" t="s">
        <v>657</v>
      </c>
      <c r="D121" s="133" t="s">
        <v>512</v>
      </c>
      <c r="E121" s="1"/>
      <c r="F121" s="4"/>
      <c r="G121" s="1"/>
      <c r="H121" s="125">
        <v>60.5</v>
      </c>
      <c r="I121" s="125"/>
      <c r="J121" s="125"/>
      <c r="K121" s="125">
        <v>60.5</v>
      </c>
      <c r="L121" s="125">
        <f t="shared" si="1"/>
        <v>23243.699999999997</v>
      </c>
      <c r="M121" s="18" t="s">
        <v>587</v>
      </c>
      <c r="N121"/>
      <c r="P121"/>
      <c r="Q121" s="4"/>
      <c r="R121" t="s">
        <v>218</v>
      </c>
      <c r="S121"/>
      <c r="T121"/>
      <c r="U121" s="125">
        <v>76</v>
      </c>
      <c r="V121" s="125">
        <v>135</v>
      </c>
      <c r="W121" t="s">
        <v>90</v>
      </c>
      <c r="X121"/>
      <c r="Y121"/>
    </row>
    <row r="122" spans="1:25" x14ac:dyDescent="0.3">
      <c r="A122" s="3"/>
      <c r="B122" s="187" t="s">
        <v>484</v>
      </c>
      <c r="C122" s="4" t="s">
        <v>658</v>
      </c>
      <c r="D122" s="133" t="s">
        <v>512</v>
      </c>
      <c r="E122" s="1"/>
      <c r="F122" s="4"/>
      <c r="G122" s="1"/>
      <c r="H122" s="125">
        <v>85</v>
      </c>
      <c r="I122" s="125"/>
      <c r="J122" s="125"/>
      <c r="K122" s="125">
        <v>85</v>
      </c>
      <c r="L122" s="125">
        <f t="shared" si="1"/>
        <v>23328.699999999997</v>
      </c>
      <c r="M122" s="18" t="s">
        <v>587</v>
      </c>
      <c r="N122"/>
      <c r="P122"/>
      <c r="Q122" s="4"/>
      <c r="R122"/>
      <c r="S122"/>
      <c r="T122"/>
      <c r="U122" s="125"/>
      <c r="V122"/>
      <c r="W122"/>
      <c r="X122"/>
      <c r="Y122"/>
    </row>
    <row r="123" spans="1:25" x14ac:dyDescent="0.3">
      <c r="A123" s="3"/>
      <c r="B123" s="187" t="s">
        <v>484</v>
      </c>
      <c r="C123" s="4" t="s">
        <v>659</v>
      </c>
      <c r="D123" s="133" t="s">
        <v>512</v>
      </c>
      <c r="E123" s="1"/>
      <c r="F123" s="4"/>
      <c r="G123" s="1"/>
      <c r="H123" s="125">
        <v>12</v>
      </c>
      <c r="I123" s="125"/>
      <c r="J123" s="125"/>
      <c r="K123" s="125">
        <v>12</v>
      </c>
      <c r="L123" s="125">
        <f t="shared" si="1"/>
        <v>23340.699999999997</v>
      </c>
      <c r="M123" s="18" t="s">
        <v>587</v>
      </c>
      <c r="N123"/>
      <c r="P123"/>
      <c r="Q123" s="4"/>
      <c r="R123"/>
      <c r="S123"/>
      <c r="T123"/>
      <c r="U123" s="125"/>
      <c r="V123"/>
      <c r="W123"/>
      <c r="X123"/>
      <c r="Y123"/>
    </row>
    <row r="124" spans="1:25" x14ac:dyDescent="0.3">
      <c r="A124" s="3"/>
      <c r="B124" s="187" t="s">
        <v>484</v>
      </c>
      <c r="C124" s="4" t="s">
        <v>268</v>
      </c>
      <c r="D124" s="133" t="s">
        <v>512</v>
      </c>
      <c r="E124" s="1"/>
      <c r="F124" s="4"/>
      <c r="G124" s="1"/>
      <c r="H124" s="125">
        <v>96</v>
      </c>
      <c r="I124" s="125"/>
      <c r="J124" s="125"/>
      <c r="K124" s="125">
        <v>96</v>
      </c>
      <c r="L124" s="125">
        <f t="shared" si="1"/>
        <v>23436.699999999997</v>
      </c>
      <c r="M124" s="18" t="s">
        <v>587</v>
      </c>
      <c r="N124"/>
      <c r="P124"/>
      <c r="Q124" s="4"/>
      <c r="R124" t="s">
        <v>586</v>
      </c>
      <c r="S124"/>
      <c r="T124"/>
      <c r="U124" s="125"/>
      <c r="V124"/>
      <c r="W124"/>
      <c r="X124"/>
      <c r="Y124"/>
    </row>
    <row r="125" spans="1:25" x14ac:dyDescent="0.3">
      <c r="A125" s="3"/>
      <c r="B125" s="187" t="s">
        <v>484</v>
      </c>
      <c r="C125" s="4" t="s">
        <v>571</v>
      </c>
      <c r="D125" s="133" t="s">
        <v>504</v>
      </c>
      <c r="E125" s="191" t="s">
        <v>661</v>
      </c>
      <c r="F125" s="4"/>
      <c r="G125" s="1">
        <v>500178</v>
      </c>
      <c r="H125" s="125"/>
      <c r="I125" s="125"/>
      <c r="J125" s="192">
        <v>-20</v>
      </c>
      <c r="K125" s="125">
        <v>-20</v>
      </c>
      <c r="L125" s="125">
        <f t="shared" si="1"/>
        <v>23416.699999999997</v>
      </c>
      <c r="M125" s="18" t="s">
        <v>756</v>
      </c>
      <c r="N125" s="18"/>
      <c r="P125"/>
      <c r="Q125" s="4"/>
      <c r="R125"/>
      <c r="S125">
        <v>500125</v>
      </c>
      <c r="T125"/>
      <c r="U125" s="125">
        <v>-20</v>
      </c>
      <c r="V125"/>
      <c r="W125"/>
      <c r="X125"/>
      <c r="Y125"/>
    </row>
    <row r="126" spans="1:25" x14ac:dyDescent="0.3">
      <c r="A126" s="3"/>
      <c r="B126" s="187" t="s">
        <v>484</v>
      </c>
      <c r="C126" s="4" t="s">
        <v>660</v>
      </c>
      <c r="D126" s="133" t="s">
        <v>504</v>
      </c>
      <c r="E126" s="191" t="s">
        <v>662</v>
      </c>
      <c r="F126"/>
      <c r="G126" s="1">
        <v>500179</v>
      </c>
      <c r="H126" s="125"/>
      <c r="I126" s="125"/>
      <c r="J126" s="192">
        <v>-50</v>
      </c>
      <c r="K126" s="125">
        <v>-50</v>
      </c>
      <c r="L126" s="125">
        <f t="shared" si="1"/>
        <v>23366.699999999997</v>
      </c>
      <c r="M126" s="16" t="s">
        <v>90</v>
      </c>
      <c r="N126"/>
      <c r="P126"/>
      <c r="Q126" s="4"/>
      <c r="R126"/>
      <c r="S126">
        <v>500178</v>
      </c>
      <c r="T126"/>
      <c r="U126" s="125">
        <v>-20</v>
      </c>
      <c r="V126" s="125"/>
      <c r="W126"/>
      <c r="X126"/>
      <c r="Y126"/>
    </row>
    <row r="127" spans="1:25" x14ac:dyDescent="0.3">
      <c r="A127" s="3"/>
      <c r="B127" s="187" t="s">
        <v>484</v>
      </c>
      <c r="C127" s="4" t="s">
        <v>234</v>
      </c>
      <c r="D127" s="133" t="s">
        <v>12</v>
      </c>
      <c r="E127" s="1"/>
      <c r="F127" s="4"/>
      <c r="G127" s="1" t="s">
        <v>243</v>
      </c>
      <c r="H127" s="125"/>
      <c r="I127" s="125"/>
      <c r="J127" s="125">
        <v>-24.28</v>
      </c>
      <c r="K127" s="125">
        <v>-24.28</v>
      </c>
      <c r="L127" s="125">
        <f t="shared" si="1"/>
        <v>23342.42</v>
      </c>
      <c r="M127" s="18" t="s">
        <v>90</v>
      </c>
      <c r="N127"/>
      <c r="P127"/>
      <c r="Q127" s="4"/>
      <c r="R127"/>
      <c r="S127">
        <v>500179</v>
      </c>
      <c r="T127"/>
      <c r="U127">
        <v>-50</v>
      </c>
      <c r="V127"/>
      <c r="W127" t="s">
        <v>90</v>
      </c>
      <c r="X127"/>
      <c r="Y127"/>
    </row>
    <row r="128" spans="1:25" x14ac:dyDescent="0.3">
      <c r="A128" s="3"/>
      <c r="B128" s="187" t="s">
        <v>484</v>
      </c>
      <c r="C128" s="4" t="s">
        <v>601</v>
      </c>
      <c r="D128" s="133" t="s">
        <v>504</v>
      </c>
      <c r="E128" s="191" t="s">
        <v>664</v>
      </c>
      <c r="F128" s="4"/>
      <c r="G128" s="1">
        <v>500180</v>
      </c>
      <c r="H128" s="125"/>
      <c r="I128" s="125"/>
      <c r="J128" s="192">
        <v>-50</v>
      </c>
      <c r="K128" s="125">
        <v>-50</v>
      </c>
      <c r="L128" s="125">
        <f t="shared" si="1"/>
        <v>23292.42</v>
      </c>
      <c r="M128" s="18" t="s">
        <v>90</v>
      </c>
      <c r="N128"/>
      <c r="P128"/>
      <c r="Q128" s="4"/>
      <c r="R128"/>
      <c r="S128">
        <v>500180</v>
      </c>
      <c r="T128"/>
      <c r="U128" s="125">
        <v>-50</v>
      </c>
      <c r="V128"/>
      <c r="W128" t="s">
        <v>90</v>
      </c>
      <c r="X128"/>
      <c r="Y128"/>
    </row>
    <row r="129" spans="1:25" x14ac:dyDescent="0.3">
      <c r="A129" s="3"/>
      <c r="B129" s="187" t="s">
        <v>484</v>
      </c>
      <c r="C129" s="4" t="s">
        <v>663</v>
      </c>
      <c r="D129" s="133" t="s">
        <v>504</v>
      </c>
      <c r="E129" s="191" t="s">
        <v>665</v>
      </c>
      <c r="F129" s="4"/>
      <c r="G129" s="1">
        <v>500181</v>
      </c>
      <c r="H129" s="125"/>
      <c r="I129" s="125"/>
      <c r="J129" s="192">
        <v>-50</v>
      </c>
      <c r="K129" s="125">
        <v>-50</v>
      </c>
      <c r="L129" s="125">
        <f t="shared" si="1"/>
        <v>23242.42</v>
      </c>
      <c r="M129" s="18" t="s">
        <v>90</v>
      </c>
      <c r="N129"/>
      <c r="P129"/>
      <c r="Q129" s="4"/>
      <c r="R129"/>
      <c r="S129">
        <v>500181</v>
      </c>
      <c r="T129"/>
      <c r="U129" s="125">
        <v>-50</v>
      </c>
      <c r="V129"/>
      <c r="W129" t="s">
        <v>90</v>
      </c>
      <c r="X129"/>
      <c r="Y129"/>
    </row>
    <row r="130" spans="1:25" x14ac:dyDescent="0.3">
      <c r="A130" s="3"/>
      <c r="B130" s="187" t="s">
        <v>484</v>
      </c>
      <c r="C130" s="237" t="s">
        <v>604</v>
      </c>
      <c r="D130" s="133" t="s">
        <v>512</v>
      </c>
      <c r="E130" s="1"/>
      <c r="F130" s="4"/>
      <c r="G130" s="1"/>
      <c r="H130" s="125">
        <v>51</v>
      </c>
      <c r="I130" s="125"/>
      <c r="J130" s="125"/>
      <c r="K130" s="125">
        <v>51</v>
      </c>
      <c r="L130" s="125">
        <f t="shared" si="1"/>
        <v>23293.42</v>
      </c>
      <c r="M130" s="18" t="s">
        <v>412</v>
      </c>
      <c r="N130"/>
      <c r="P130"/>
      <c r="Q130" s="4"/>
      <c r="R130"/>
      <c r="S130"/>
      <c r="T130"/>
      <c r="U130"/>
      <c r="V130"/>
      <c r="W130"/>
      <c r="X130"/>
      <c r="Y130"/>
    </row>
    <row r="131" spans="1:25" x14ac:dyDescent="0.3">
      <c r="A131" s="3"/>
      <c r="B131" s="187" t="s">
        <v>484</v>
      </c>
      <c r="C131" s="4" t="s">
        <v>218</v>
      </c>
      <c r="D131" s="133" t="s">
        <v>512</v>
      </c>
      <c r="E131" s="1"/>
      <c r="F131" s="4"/>
      <c r="G131" s="1"/>
      <c r="H131" s="125">
        <v>76</v>
      </c>
      <c r="I131" s="125"/>
      <c r="J131" s="125"/>
      <c r="K131" s="125">
        <v>76</v>
      </c>
      <c r="L131" s="125">
        <f t="shared" si="1"/>
        <v>23369.42</v>
      </c>
      <c r="M131" s="18" t="s">
        <v>412</v>
      </c>
      <c r="N131"/>
      <c r="P131"/>
      <c r="Q131" s="4"/>
      <c r="R131"/>
      <c r="S131"/>
      <c r="T131"/>
      <c r="U131"/>
      <c r="V131" s="125">
        <v>-190</v>
      </c>
      <c r="W131"/>
      <c r="X131"/>
      <c r="Y131"/>
    </row>
    <row r="132" spans="1:25" x14ac:dyDescent="0.3">
      <c r="A132" s="3"/>
      <c r="B132" s="187" t="s">
        <v>484</v>
      </c>
      <c r="C132" s="4" t="s">
        <v>679</v>
      </c>
      <c r="D132" s="133" t="s">
        <v>504</v>
      </c>
      <c r="E132" s="191" t="s">
        <v>668</v>
      </c>
      <c r="F132" s="4"/>
      <c r="G132" s="1">
        <v>500176</v>
      </c>
      <c r="H132" s="125"/>
      <c r="I132" s="125"/>
      <c r="J132" s="192">
        <v>-50</v>
      </c>
      <c r="K132" s="125">
        <v>-50</v>
      </c>
      <c r="L132" s="125">
        <f t="shared" si="1"/>
        <v>23319.42</v>
      </c>
      <c r="M132" s="18" t="s">
        <v>90</v>
      </c>
      <c r="N132"/>
      <c r="P132"/>
      <c r="Q132" s="4"/>
      <c r="R132"/>
      <c r="S132"/>
      <c r="T132"/>
      <c r="U132"/>
      <c r="V132"/>
      <c r="W132"/>
      <c r="X132"/>
      <c r="Y132"/>
    </row>
    <row r="133" spans="1:25" x14ac:dyDescent="0.3">
      <c r="A133" s="3"/>
      <c r="B133" s="187" t="s">
        <v>484</v>
      </c>
      <c r="C133" s="4" t="s">
        <v>678</v>
      </c>
      <c r="D133" s="133" t="s">
        <v>504</v>
      </c>
      <c r="E133" s="191" t="s">
        <v>669</v>
      </c>
      <c r="F133" s="4"/>
      <c r="G133" s="1">
        <v>500177</v>
      </c>
      <c r="H133" s="125"/>
      <c r="I133" s="125"/>
      <c r="J133" s="192">
        <v>-50</v>
      </c>
      <c r="K133" s="125">
        <v>-50</v>
      </c>
      <c r="L133" s="125">
        <f t="shared" si="1"/>
        <v>23269.42</v>
      </c>
      <c r="M133" s="18" t="s">
        <v>90</v>
      </c>
      <c r="N133"/>
      <c r="P133"/>
      <c r="Q133" s="4"/>
      <c r="R133"/>
      <c r="S133"/>
      <c r="T133"/>
      <c r="U133"/>
      <c r="V133"/>
      <c r="W133"/>
      <c r="X133"/>
      <c r="Y133"/>
    </row>
    <row r="134" spans="1:25" x14ac:dyDescent="0.3">
      <c r="A134" s="3"/>
      <c r="B134" s="187" t="s">
        <v>484</v>
      </c>
      <c r="C134" s="4" t="s">
        <v>232</v>
      </c>
      <c r="D134" s="133" t="s">
        <v>623</v>
      </c>
      <c r="E134" s="1"/>
      <c r="F134" s="4"/>
      <c r="G134" s="1"/>
      <c r="H134" s="125"/>
      <c r="I134" s="125"/>
      <c r="J134" s="125">
        <v>-50</v>
      </c>
      <c r="K134" s="125">
        <v>-50</v>
      </c>
      <c r="L134" s="125">
        <f t="shared" si="1"/>
        <v>23219.42</v>
      </c>
      <c r="M134" s="18" t="s">
        <v>90</v>
      </c>
      <c r="N134"/>
      <c r="P134"/>
      <c r="Q134" s="4"/>
      <c r="R134" t="s">
        <v>652</v>
      </c>
      <c r="S134"/>
      <c r="T134"/>
      <c r="U134"/>
      <c r="V134">
        <v>23219.42</v>
      </c>
      <c r="W134"/>
      <c r="X134" t="s">
        <v>588</v>
      </c>
      <c r="Y134"/>
    </row>
    <row r="135" spans="1:25" x14ac:dyDescent="0.3">
      <c r="A135" s="3"/>
      <c r="B135" s="187"/>
      <c r="C135"/>
      <c r="D135"/>
      <c r="E135" s="1"/>
      <c r="F135"/>
      <c r="G135" s="1"/>
      <c r="H135" s="125"/>
      <c r="I135" s="125"/>
      <c r="J135" s="125"/>
      <c r="K135" s="125"/>
      <c r="L135" s="125">
        <f t="shared" si="1"/>
        <v>23219.42</v>
      </c>
      <c r="N135"/>
      <c r="P135"/>
      <c r="Q135" s="4"/>
      <c r="R135"/>
      <c r="S135"/>
      <c r="T135"/>
      <c r="U135"/>
      <c r="V135"/>
      <c r="W135"/>
      <c r="X135"/>
      <c r="Y135"/>
    </row>
    <row r="136" spans="1:25" x14ac:dyDescent="0.3">
      <c r="A136" s="28" t="s">
        <v>80</v>
      </c>
      <c r="B136" s="187" t="s">
        <v>485</v>
      </c>
      <c r="C136" s="4" t="s">
        <v>654</v>
      </c>
      <c r="D136" s="133" t="s">
        <v>9</v>
      </c>
      <c r="E136" s="1" t="s">
        <v>746</v>
      </c>
      <c r="F136" s="4"/>
      <c r="G136" s="1"/>
      <c r="H136" s="125"/>
      <c r="I136" s="125"/>
      <c r="J136" s="125">
        <v>-135.11000000000001</v>
      </c>
      <c r="K136" s="125">
        <v>-135.11000000000001</v>
      </c>
      <c r="L136" s="125">
        <f t="shared" si="1"/>
        <v>23084.309999999998</v>
      </c>
      <c r="M136" s="18" t="s">
        <v>90</v>
      </c>
      <c r="N136"/>
      <c r="P136"/>
      <c r="Q136" s="4"/>
      <c r="R136"/>
      <c r="S136"/>
      <c r="T136"/>
      <c r="U136"/>
      <c r="V136"/>
      <c r="W136"/>
      <c r="X136"/>
      <c r="Y136"/>
    </row>
    <row r="137" spans="1:25" x14ac:dyDescent="0.3">
      <c r="A137" s="3"/>
      <c r="B137" s="187" t="s">
        <v>485</v>
      </c>
      <c r="C137" s="4" t="s">
        <v>533</v>
      </c>
      <c r="D137" s="133" t="s">
        <v>12</v>
      </c>
      <c r="E137" s="1"/>
      <c r="F137" s="4"/>
      <c r="G137" s="1"/>
      <c r="H137" s="125"/>
      <c r="I137" s="125"/>
      <c r="J137" s="125">
        <v>-288.39999999999998</v>
      </c>
      <c r="K137" s="125">
        <v>-288.39999999999998</v>
      </c>
      <c r="L137" s="125">
        <f t="shared" si="1"/>
        <v>22795.909999999996</v>
      </c>
      <c r="M137" s="18" t="s">
        <v>90</v>
      </c>
      <c r="N137"/>
      <c r="P137"/>
      <c r="Q137" s="4"/>
      <c r="R137"/>
      <c r="S137"/>
      <c r="T137"/>
      <c r="U137"/>
      <c r="V137"/>
      <c r="W137"/>
      <c r="X137"/>
      <c r="Y137"/>
    </row>
    <row r="138" spans="1:25" x14ac:dyDescent="0.3">
      <c r="A138" s="3"/>
      <c r="B138" s="187" t="s">
        <v>485</v>
      </c>
      <c r="C138" s="4" t="s">
        <v>299</v>
      </c>
      <c r="D138" s="133" t="s">
        <v>301</v>
      </c>
      <c r="E138" s="1"/>
      <c r="F138" s="4"/>
      <c r="G138" s="1"/>
      <c r="H138" s="125"/>
      <c r="I138" s="125"/>
      <c r="J138" s="125">
        <v>-34.68</v>
      </c>
      <c r="K138" s="125">
        <v>-34.68</v>
      </c>
      <c r="L138" s="125">
        <f t="shared" si="1"/>
        <v>22761.229999999996</v>
      </c>
      <c r="M138" s="18" t="s">
        <v>90</v>
      </c>
      <c r="N138"/>
      <c r="P138"/>
      <c r="Q138" s="4"/>
      <c r="R138" s="30" t="s">
        <v>690</v>
      </c>
      <c r="S138" s="30"/>
      <c r="T138" s="30"/>
      <c r="U138"/>
      <c r="V138"/>
      <c r="W138"/>
      <c r="X138"/>
      <c r="Y138"/>
    </row>
    <row r="139" spans="1:25" x14ac:dyDescent="0.3">
      <c r="A139" s="3"/>
      <c r="B139" s="187" t="s">
        <v>485</v>
      </c>
      <c r="C139" s="4" t="s">
        <v>607</v>
      </c>
      <c r="D139" s="133" t="s">
        <v>11</v>
      </c>
      <c r="E139" s="1"/>
      <c r="F139" s="4"/>
      <c r="G139" s="1"/>
      <c r="H139" s="125"/>
      <c r="I139" s="125"/>
      <c r="J139" s="125">
        <v>-112.48</v>
      </c>
      <c r="K139" s="125">
        <v>-112.48</v>
      </c>
      <c r="L139" s="125">
        <f t="shared" si="1"/>
        <v>22648.749999999996</v>
      </c>
      <c r="M139" s="18" t="s">
        <v>90</v>
      </c>
      <c r="N139"/>
      <c r="P139"/>
      <c r="Q139" s="4"/>
      <c r="R139"/>
      <c r="S139"/>
      <c r="T139"/>
      <c r="U139"/>
      <c r="V139"/>
      <c r="W139"/>
      <c r="X139"/>
      <c r="Y139"/>
    </row>
    <row r="140" spans="1:25" x14ac:dyDescent="0.3">
      <c r="A140" s="3"/>
      <c r="B140" s="187" t="s">
        <v>485</v>
      </c>
      <c r="C140" s="4" t="s">
        <v>48</v>
      </c>
      <c r="D140" s="133" t="s">
        <v>12</v>
      </c>
      <c r="E140" s="1"/>
      <c r="F140" s="17"/>
      <c r="G140" s="1"/>
      <c r="H140" s="125"/>
      <c r="I140" s="125"/>
      <c r="J140" s="125">
        <v>-89.82</v>
      </c>
      <c r="K140" s="125">
        <v>-89.82</v>
      </c>
      <c r="L140" s="125">
        <f t="shared" si="1"/>
        <v>22558.929999999997</v>
      </c>
      <c r="M140" s="16" t="s">
        <v>90</v>
      </c>
      <c r="N140"/>
      <c r="P140"/>
      <c r="Q140" s="4"/>
      <c r="R140" t="s">
        <v>584</v>
      </c>
      <c r="S140"/>
      <c r="T140"/>
      <c r="U140"/>
      <c r="V140">
        <v>22213.119999999999</v>
      </c>
      <c r="W140"/>
      <c r="X140"/>
      <c r="Y140"/>
    </row>
    <row r="141" spans="1:25" x14ac:dyDescent="0.3">
      <c r="A141" s="174"/>
      <c r="B141" s="187" t="s">
        <v>485</v>
      </c>
      <c r="C141" s="4" t="s">
        <v>672</v>
      </c>
      <c r="D141" s="133" t="s">
        <v>86</v>
      </c>
      <c r="E141" s="1" t="s">
        <v>304</v>
      </c>
      <c r="F141" s="1"/>
      <c r="G141" s="1"/>
      <c r="H141" s="125"/>
      <c r="I141" s="125"/>
      <c r="J141" s="125">
        <v>-100</v>
      </c>
      <c r="K141" s="125">
        <v>-100</v>
      </c>
      <c r="L141" s="125">
        <f t="shared" si="1"/>
        <v>22458.929999999997</v>
      </c>
      <c r="M141" s="16" t="s">
        <v>90</v>
      </c>
      <c r="N141"/>
      <c r="P141"/>
      <c r="Q141" s="4"/>
      <c r="R141"/>
      <c r="S141"/>
      <c r="T141"/>
      <c r="U141"/>
      <c r="V141"/>
      <c r="W141"/>
      <c r="X141"/>
      <c r="Y141"/>
    </row>
    <row r="142" spans="1:25" x14ac:dyDescent="0.3">
      <c r="A142" s="3"/>
      <c r="B142" s="187" t="s">
        <v>485</v>
      </c>
      <c r="C142" s="4" t="s">
        <v>58</v>
      </c>
      <c r="D142" s="133" t="s">
        <v>8</v>
      </c>
      <c r="E142" s="1" t="s">
        <v>673</v>
      </c>
      <c r="F142" s="4"/>
      <c r="G142" s="1"/>
      <c r="H142" s="125"/>
      <c r="I142" s="125"/>
      <c r="J142" s="125">
        <v>-997.21</v>
      </c>
      <c r="K142" s="125">
        <v>-997.21</v>
      </c>
      <c r="L142" s="125">
        <f t="shared" si="1"/>
        <v>21461.719999999998</v>
      </c>
      <c r="M142" s="16" t="s">
        <v>90</v>
      </c>
      <c r="N142"/>
      <c r="P142"/>
      <c r="Q142" s="4"/>
      <c r="R142" t="s">
        <v>650</v>
      </c>
      <c r="S142"/>
      <c r="T142"/>
      <c r="U142" s="125"/>
      <c r="V142"/>
      <c r="W142"/>
      <c r="X142"/>
      <c r="Y142"/>
    </row>
    <row r="143" spans="1:25" x14ac:dyDescent="0.3">
      <c r="A143" s="3"/>
      <c r="B143" s="187" t="s">
        <v>485</v>
      </c>
      <c r="C143" s="4" t="s">
        <v>674</v>
      </c>
      <c r="D143" s="133" t="s">
        <v>512</v>
      </c>
      <c r="E143" s="1"/>
      <c r="F143" s="4"/>
      <c r="G143" s="1"/>
      <c r="H143" s="125">
        <v>85</v>
      </c>
      <c r="I143" s="125"/>
      <c r="J143" s="125"/>
      <c r="K143" s="125">
        <v>85</v>
      </c>
      <c r="L143" s="125">
        <f t="shared" si="1"/>
        <v>21546.719999999998</v>
      </c>
      <c r="M143" s="16" t="s">
        <v>412</v>
      </c>
      <c r="N143"/>
      <c r="P143"/>
      <c r="Q143" s="4"/>
      <c r="R143" t="s">
        <v>596</v>
      </c>
      <c r="S143"/>
      <c r="T143"/>
      <c r="U143" s="125">
        <v>8</v>
      </c>
      <c r="V143"/>
      <c r="W143"/>
      <c r="X143"/>
      <c r="Y143"/>
    </row>
    <row r="144" spans="1:25" x14ac:dyDescent="0.3">
      <c r="A144" s="3"/>
      <c r="B144" s="187" t="s">
        <v>485</v>
      </c>
      <c r="C144" s="4" t="s">
        <v>675</v>
      </c>
      <c r="D144" s="133" t="s">
        <v>512</v>
      </c>
      <c r="E144" s="1"/>
      <c r="F144" s="4"/>
      <c r="G144" s="1"/>
      <c r="H144" s="125">
        <v>8</v>
      </c>
      <c r="I144" s="125"/>
      <c r="J144" s="125"/>
      <c r="K144" s="125">
        <v>8</v>
      </c>
      <c r="L144" s="125">
        <f t="shared" si="1"/>
        <v>21554.719999999998</v>
      </c>
      <c r="M144" s="16" t="s">
        <v>412</v>
      </c>
      <c r="N144"/>
      <c r="P144"/>
      <c r="Q144" s="4"/>
      <c r="R144" t="s">
        <v>680</v>
      </c>
      <c r="S144"/>
      <c r="T144"/>
      <c r="U144" s="125">
        <v>90</v>
      </c>
      <c r="V144" s="125"/>
      <c r="W144"/>
      <c r="X144" t="s">
        <v>90</v>
      </c>
      <c r="Y144"/>
    </row>
    <row r="145" spans="1:25" x14ac:dyDescent="0.3">
      <c r="A145" s="3"/>
      <c r="B145" s="187" t="s">
        <v>485</v>
      </c>
      <c r="C145" s="4" t="s">
        <v>676</v>
      </c>
      <c r="D145" s="133" t="s">
        <v>12</v>
      </c>
      <c r="E145" s="1" t="s">
        <v>677</v>
      </c>
      <c r="F145" s="1"/>
      <c r="G145" s="1"/>
      <c r="H145" s="125">
        <v>50.4</v>
      </c>
      <c r="I145" s="125"/>
      <c r="J145" s="125"/>
      <c r="K145" s="125">
        <v>50.4</v>
      </c>
      <c r="L145" s="125">
        <f t="shared" si="1"/>
        <v>21605.119999999999</v>
      </c>
      <c r="M145" s="18" t="s">
        <v>90</v>
      </c>
      <c r="N145"/>
      <c r="P145"/>
      <c r="Q145" s="4"/>
      <c r="R145" s="4" t="s">
        <v>685</v>
      </c>
      <c r="S145" s="4"/>
      <c r="T145"/>
      <c r="U145" s="125">
        <v>116.5</v>
      </c>
      <c r="V145" s="125"/>
      <c r="W145"/>
      <c r="X145" t="s">
        <v>90</v>
      </c>
      <c r="Y145"/>
    </row>
    <row r="146" spans="1:25" x14ac:dyDescent="0.3">
      <c r="A146" s="3"/>
      <c r="B146" s="187" t="s">
        <v>485</v>
      </c>
      <c r="C146" s="4" t="s">
        <v>128</v>
      </c>
      <c r="D146" s="133" t="s">
        <v>512</v>
      </c>
      <c r="E146" s="1"/>
      <c r="F146" s="4"/>
      <c r="G146" s="1"/>
      <c r="H146" s="125">
        <v>8</v>
      </c>
      <c r="I146" s="125"/>
      <c r="J146" s="125"/>
      <c r="K146" s="125">
        <v>8</v>
      </c>
      <c r="L146" s="125">
        <f t="shared" si="1"/>
        <v>21613.119999999999</v>
      </c>
      <c r="M146" s="18" t="s">
        <v>90</v>
      </c>
      <c r="N146"/>
      <c r="P146"/>
      <c r="Q146" s="4"/>
      <c r="R146" s="4" t="s">
        <v>686</v>
      </c>
      <c r="S146" s="4"/>
      <c r="T146"/>
      <c r="U146" s="125">
        <v>8.5</v>
      </c>
      <c r="V146"/>
      <c r="W146"/>
      <c r="X146" t="s">
        <v>90</v>
      </c>
      <c r="Y146"/>
    </row>
    <row r="147" spans="1:25" x14ac:dyDescent="0.3">
      <c r="A147" s="3"/>
      <c r="B147" s="187" t="s">
        <v>485</v>
      </c>
      <c r="C147" s="4" t="s">
        <v>655</v>
      </c>
      <c r="D147" s="133" t="s">
        <v>512</v>
      </c>
      <c r="E147" s="4"/>
      <c r="F147" s="4"/>
      <c r="G147" s="1"/>
      <c r="H147" s="125">
        <v>6</v>
      </c>
      <c r="I147" s="125"/>
      <c r="J147" s="125"/>
      <c r="K147" s="125">
        <v>6</v>
      </c>
      <c r="L147" s="125">
        <f t="shared" si="1"/>
        <v>21619.119999999999</v>
      </c>
      <c r="M147" s="18" t="s">
        <v>90</v>
      </c>
      <c r="N147" s="25"/>
      <c r="O147" s="134"/>
      <c r="P147"/>
      <c r="Q147" s="4"/>
      <c r="R147" s="4" t="s">
        <v>174</v>
      </c>
      <c r="S147"/>
      <c r="T147"/>
      <c r="U147" s="125">
        <v>3046</v>
      </c>
      <c r="V147" s="125">
        <v>3269</v>
      </c>
      <c r="W147"/>
      <c r="X147" t="s">
        <v>90</v>
      </c>
      <c r="Y147"/>
    </row>
    <row r="148" spans="1:25" x14ac:dyDescent="0.3">
      <c r="A148" s="182"/>
      <c r="B148" s="187" t="s">
        <v>485</v>
      </c>
      <c r="C148" s="4" t="s">
        <v>680</v>
      </c>
      <c r="D148" s="133" t="s">
        <v>512</v>
      </c>
      <c r="E148" s="4" t="s">
        <v>688</v>
      </c>
      <c r="F148" s="4"/>
      <c r="G148" s="4" t="s">
        <v>399</v>
      </c>
      <c r="H148" s="125">
        <v>40</v>
      </c>
      <c r="I148" s="125"/>
      <c r="J148" s="125"/>
      <c r="K148" s="125">
        <v>40</v>
      </c>
      <c r="L148" s="125">
        <f t="shared" si="1"/>
        <v>21659.119999999999</v>
      </c>
      <c r="M148" s="18" t="s">
        <v>606</v>
      </c>
      <c r="N148" s="25"/>
      <c r="O148" s="134"/>
      <c r="P148"/>
      <c r="Q148" s="4"/>
      <c r="R148"/>
      <c r="S148"/>
      <c r="T148"/>
      <c r="U148"/>
      <c r="V148"/>
      <c r="W148"/>
      <c r="X148"/>
      <c r="Y148"/>
    </row>
    <row r="149" spans="1:25" x14ac:dyDescent="0.3">
      <c r="A149" s="3"/>
      <c r="B149" s="187" t="s">
        <v>485</v>
      </c>
      <c r="C149" s="4" t="s">
        <v>680</v>
      </c>
      <c r="D149" s="133" t="s">
        <v>500</v>
      </c>
      <c r="E149" s="191" t="s">
        <v>681</v>
      </c>
      <c r="F149" s="4"/>
      <c r="G149" s="193"/>
      <c r="H149" s="192">
        <v>50</v>
      </c>
      <c r="I149" s="125"/>
      <c r="J149" s="125"/>
      <c r="K149" s="125">
        <v>50</v>
      </c>
      <c r="L149" s="125">
        <f t="shared" si="1"/>
        <v>21709.119999999999</v>
      </c>
      <c r="M149" s="18" t="s">
        <v>606</v>
      </c>
      <c r="N149" s="196"/>
      <c r="O149" s="134"/>
      <c r="P149"/>
      <c r="Q149" s="4"/>
      <c r="R149"/>
      <c r="S149"/>
      <c r="T149"/>
      <c r="U149"/>
      <c r="V149"/>
      <c r="W149"/>
      <c r="X149"/>
      <c r="Y149"/>
    </row>
    <row r="150" spans="1:25" x14ac:dyDescent="0.3">
      <c r="A150" s="3"/>
      <c r="B150" s="187" t="s">
        <v>485</v>
      </c>
      <c r="C150" s="4" t="s">
        <v>682</v>
      </c>
      <c r="D150" s="133" t="s">
        <v>512</v>
      </c>
      <c r="E150" s="1" t="s">
        <v>683</v>
      </c>
      <c r="F150" s="4"/>
      <c r="G150" s="4" t="s">
        <v>399</v>
      </c>
      <c r="H150" s="125">
        <v>268</v>
      </c>
      <c r="I150" s="125"/>
      <c r="J150" s="125"/>
      <c r="K150" s="125">
        <v>268</v>
      </c>
      <c r="L150" s="125">
        <f t="shared" si="1"/>
        <v>21977.119999999999</v>
      </c>
      <c r="M150" s="18" t="s">
        <v>412</v>
      </c>
      <c r="N150" s="25"/>
      <c r="O150" s="134"/>
      <c r="P150"/>
      <c r="Q150" s="4"/>
      <c r="R150" t="s">
        <v>586</v>
      </c>
      <c r="S150"/>
      <c r="T150"/>
      <c r="U150" s="125"/>
      <c r="V150" s="125"/>
      <c r="W150"/>
      <c r="X150"/>
      <c r="Y150"/>
    </row>
    <row r="151" spans="1:25" x14ac:dyDescent="0.3">
      <c r="A151" s="174"/>
      <c r="B151" s="187" t="s">
        <v>485</v>
      </c>
      <c r="C151" s="4" t="s">
        <v>682</v>
      </c>
      <c r="D151" s="133" t="s">
        <v>500</v>
      </c>
      <c r="E151" s="191" t="s">
        <v>684</v>
      </c>
      <c r="F151" s="4"/>
      <c r="G151" s="193"/>
      <c r="H151" s="192">
        <v>250</v>
      </c>
      <c r="I151" s="125"/>
      <c r="J151" s="125"/>
      <c r="K151" s="125">
        <v>250</v>
      </c>
      <c r="L151" s="125">
        <f t="shared" si="1"/>
        <v>22227.119999999999</v>
      </c>
      <c r="M151" s="18" t="s">
        <v>412</v>
      </c>
      <c r="N151"/>
      <c r="P151"/>
      <c r="Q151" s="4"/>
      <c r="R151"/>
      <c r="S151">
        <v>500125</v>
      </c>
      <c r="T151"/>
      <c r="U151" s="125">
        <v>-20</v>
      </c>
      <c r="V151"/>
      <c r="W151"/>
      <c r="X151"/>
      <c r="Y151"/>
    </row>
    <row r="152" spans="1:25" x14ac:dyDescent="0.3">
      <c r="A152" s="174"/>
      <c r="B152" s="187" t="s">
        <v>485</v>
      </c>
      <c r="C152" s="4" t="s">
        <v>685</v>
      </c>
      <c r="D152" s="133" t="s">
        <v>512</v>
      </c>
      <c r="E152" s="193" t="s">
        <v>687</v>
      </c>
      <c r="F152" s="4"/>
      <c r="G152" s="1" t="s">
        <v>399</v>
      </c>
      <c r="H152" s="125">
        <v>66.5</v>
      </c>
      <c r="I152" s="125"/>
      <c r="J152" s="125"/>
      <c r="K152" s="125">
        <v>66.5</v>
      </c>
      <c r="L152" s="125">
        <f t="shared" si="1"/>
        <v>22293.62</v>
      </c>
      <c r="M152" s="18" t="s">
        <v>606</v>
      </c>
      <c r="N152"/>
      <c r="P152"/>
      <c r="Q152" s="4"/>
      <c r="R152"/>
      <c r="S152">
        <v>500178</v>
      </c>
      <c r="T152"/>
      <c r="U152" s="125">
        <v>-20</v>
      </c>
      <c r="V152"/>
      <c r="W152"/>
      <c r="X152"/>
      <c r="Y152"/>
    </row>
    <row r="153" spans="1:25" x14ac:dyDescent="0.3">
      <c r="A153" s="174"/>
      <c r="B153" s="187" t="s">
        <v>485</v>
      </c>
      <c r="C153" s="4" t="s">
        <v>685</v>
      </c>
      <c r="D153" s="133" t="s">
        <v>500</v>
      </c>
      <c r="E153" s="191" t="s">
        <v>341</v>
      </c>
      <c r="F153" s="4"/>
      <c r="G153" s="193"/>
      <c r="H153" s="192">
        <v>50</v>
      </c>
      <c r="I153" s="125"/>
      <c r="J153" s="125"/>
      <c r="K153" s="125">
        <v>50</v>
      </c>
      <c r="L153" s="125">
        <f t="shared" si="1"/>
        <v>22343.62</v>
      </c>
      <c r="M153" s="18" t="s">
        <v>606</v>
      </c>
      <c r="N153"/>
      <c r="P153"/>
      <c r="Q153" s="4"/>
      <c r="R153"/>
      <c r="S153"/>
      <c r="T153"/>
      <c r="U153"/>
      <c r="V153" s="125">
        <v>-40</v>
      </c>
      <c r="W153"/>
      <c r="X153" t="s">
        <v>90</v>
      </c>
      <c r="Y153"/>
    </row>
    <row r="154" spans="1:25" x14ac:dyDescent="0.3">
      <c r="A154" s="174"/>
      <c r="B154" s="187" t="s">
        <v>485</v>
      </c>
      <c r="C154" s="4" t="s">
        <v>686</v>
      </c>
      <c r="D154" s="133" t="s">
        <v>512</v>
      </c>
      <c r="E154" s="193"/>
      <c r="F154" s="4"/>
      <c r="G154" s="1"/>
      <c r="H154" s="125">
        <v>8.5</v>
      </c>
      <c r="I154" s="125"/>
      <c r="J154" s="125"/>
      <c r="K154" s="125">
        <v>8.5</v>
      </c>
      <c r="L154" s="125">
        <f t="shared" si="1"/>
        <v>22352.12</v>
      </c>
      <c r="M154" s="18" t="s">
        <v>606</v>
      </c>
      <c r="N154"/>
      <c r="P154"/>
      <c r="Q154" s="4"/>
      <c r="R154"/>
      <c r="S154"/>
      <c r="T154"/>
      <c r="U154" s="125"/>
      <c r="V154"/>
      <c r="W154"/>
      <c r="X154"/>
      <c r="Y154"/>
    </row>
    <row r="155" spans="1:25" x14ac:dyDescent="0.3">
      <c r="A155" s="174"/>
      <c r="B155" s="187" t="s">
        <v>485</v>
      </c>
      <c r="C155" s="4" t="s">
        <v>174</v>
      </c>
      <c r="D155" s="133" t="s">
        <v>513</v>
      </c>
      <c r="E155" s="197" t="s">
        <v>689</v>
      </c>
      <c r="F155" s="4"/>
      <c r="G155" s="1"/>
      <c r="H155" s="190">
        <v>3046</v>
      </c>
      <c r="I155" s="125"/>
      <c r="J155" s="125"/>
      <c r="K155" s="125">
        <v>3046</v>
      </c>
      <c r="L155" s="125">
        <f t="shared" si="1"/>
        <v>25398.12</v>
      </c>
      <c r="M155" s="18" t="s">
        <v>90</v>
      </c>
      <c r="N155"/>
      <c r="P155"/>
      <c r="Q155" s="4"/>
      <c r="R155"/>
      <c r="S155"/>
      <c r="T155"/>
      <c r="U155"/>
      <c r="V155" s="125"/>
      <c r="W155"/>
      <c r="X155"/>
      <c r="Y155"/>
    </row>
    <row r="156" spans="1:25" x14ac:dyDescent="0.3">
      <c r="A156" s="3"/>
      <c r="B156" s="187" t="s">
        <v>485</v>
      </c>
      <c r="C156" s="4" t="s">
        <v>128</v>
      </c>
      <c r="D156" s="133" t="s">
        <v>513</v>
      </c>
      <c r="E156" s="197" t="s">
        <v>692</v>
      </c>
      <c r="F156" s="4"/>
      <c r="G156" s="1">
        <v>500128</v>
      </c>
      <c r="H156" s="125"/>
      <c r="I156" s="125"/>
      <c r="J156" s="125"/>
      <c r="K156" s="190">
        <v>-51</v>
      </c>
      <c r="L156" s="125">
        <f t="shared" si="1"/>
        <v>25347.119999999999</v>
      </c>
      <c r="M156" s="18" t="s">
        <v>90</v>
      </c>
      <c r="N156" s="18"/>
      <c r="P156"/>
      <c r="Q156" s="4"/>
      <c r="R156"/>
      <c r="S156"/>
      <c r="T156"/>
      <c r="U156"/>
      <c r="V156"/>
      <c r="W156"/>
      <c r="X156"/>
      <c r="Y156"/>
    </row>
    <row r="157" spans="1:25" x14ac:dyDescent="0.3">
      <c r="A157" s="3"/>
      <c r="B157" s="187" t="s">
        <v>485</v>
      </c>
      <c r="C157" s="4" t="s">
        <v>693</v>
      </c>
      <c r="D157" s="133" t="s">
        <v>512</v>
      </c>
      <c r="E157" s="1"/>
      <c r="F157" s="4"/>
      <c r="G157" s="1"/>
      <c r="H157" s="125">
        <v>95</v>
      </c>
      <c r="I157" s="125"/>
      <c r="J157" s="125"/>
      <c r="K157" s="125">
        <v>95</v>
      </c>
      <c r="L157" s="125">
        <f t="shared" si="1"/>
        <v>25442.12</v>
      </c>
      <c r="M157" s="16" t="s">
        <v>90</v>
      </c>
      <c r="N157"/>
      <c r="P157"/>
      <c r="Q157" s="4"/>
      <c r="R157"/>
      <c r="S157"/>
      <c r="T157"/>
      <c r="U157"/>
      <c r="V157"/>
      <c r="W157"/>
      <c r="X157"/>
      <c r="Y157"/>
    </row>
    <row r="158" spans="1:25" x14ac:dyDescent="0.3">
      <c r="A158" s="3"/>
      <c r="B158" s="187"/>
      <c r="C158" s="4"/>
      <c r="D158" s="4"/>
      <c r="E158" s="1"/>
      <c r="F158" s="4"/>
      <c r="G158" s="1"/>
      <c r="H158" s="125"/>
      <c r="I158" s="125"/>
      <c r="J158" s="125"/>
      <c r="K158" s="125"/>
      <c r="L158" s="125">
        <f t="shared" si="1"/>
        <v>25442.12</v>
      </c>
      <c r="M158" s="16"/>
      <c r="N158"/>
      <c r="P158"/>
      <c r="Q158" s="4"/>
      <c r="R158" t="s">
        <v>652</v>
      </c>
      <c r="S158"/>
      <c r="T158"/>
      <c r="U158"/>
      <c r="V158">
        <v>25442.12</v>
      </c>
      <c r="W158"/>
      <c r="X158" t="s">
        <v>588</v>
      </c>
      <c r="Y158" s="125" t="s">
        <v>924</v>
      </c>
    </row>
    <row r="159" spans="1:25" x14ac:dyDescent="0.3">
      <c r="A159" s="28" t="s">
        <v>694</v>
      </c>
      <c r="B159" s="187" t="s">
        <v>486</v>
      </c>
      <c r="C159" s="4" t="s">
        <v>654</v>
      </c>
      <c r="D159" s="133" t="s">
        <v>9</v>
      </c>
      <c r="E159" s="1" t="s">
        <v>745</v>
      </c>
      <c r="F159" s="4"/>
      <c r="G159" s="1"/>
      <c r="H159" s="125"/>
      <c r="I159" s="125"/>
      <c r="J159" s="125">
        <v>-90.99</v>
      </c>
      <c r="K159" s="125">
        <v>-90.99</v>
      </c>
      <c r="L159" s="125">
        <f t="shared" ref="L159:L222" si="2">+L158+K159</f>
        <v>25351.129999999997</v>
      </c>
      <c r="M159" s="18" t="s">
        <v>90</v>
      </c>
      <c r="N159"/>
      <c r="P159"/>
      <c r="Q159" s="4"/>
      <c r="R159"/>
      <c r="S159"/>
      <c r="T159"/>
      <c r="U159"/>
      <c r="V159"/>
      <c r="W159"/>
      <c r="X159"/>
      <c r="Y159"/>
    </row>
    <row r="160" spans="1:25" x14ac:dyDescent="0.3">
      <c r="A160" s="3"/>
      <c r="B160" s="187" t="s">
        <v>486</v>
      </c>
      <c r="C160" s="4" t="s">
        <v>533</v>
      </c>
      <c r="D160" s="133" t="s">
        <v>12</v>
      </c>
      <c r="E160" s="1"/>
      <c r="F160" s="4"/>
      <c r="G160" s="1"/>
      <c r="H160" s="125"/>
      <c r="I160" s="125"/>
      <c r="J160" s="125">
        <v>-288.39999999999998</v>
      </c>
      <c r="K160" s="125">
        <v>-288.39999999999998</v>
      </c>
      <c r="L160" s="125">
        <f t="shared" si="2"/>
        <v>25062.729999999996</v>
      </c>
      <c r="M160" s="18" t="s">
        <v>90</v>
      </c>
      <c r="N160"/>
      <c r="P160"/>
      <c r="Q160" s="4"/>
      <c r="R160"/>
      <c r="S160"/>
      <c r="T160"/>
      <c r="U160"/>
      <c r="V160"/>
      <c r="W160"/>
      <c r="X160"/>
      <c r="Y160"/>
    </row>
    <row r="161" spans="1:25" x14ac:dyDescent="0.3">
      <c r="A161" s="3"/>
      <c r="B161" s="187" t="s">
        <v>486</v>
      </c>
      <c r="C161" s="4" t="s">
        <v>299</v>
      </c>
      <c r="D161" s="133" t="s">
        <v>301</v>
      </c>
      <c r="E161" s="1"/>
      <c r="F161" s="4"/>
      <c r="G161" s="1"/>
      <c r="H161" s="125"/>
      <c r="I161" s="125"/>
      <c r="J161" s="125">
        <v>-34.68</v>
      </c>
      <c r="K161" s="125">
        <v>-34.68</v>
      </c>
      <c r="L161" s="125">
        <f t="shared" si="2"/>
        <v>25028.049999999996</v>
      </c>
      <c r="M161" s="18" t="s">
        <v>90</v>
      </c>
      <c r="N161"/>
      <c r="P161"/>
      <c r="Q161" s="4"/>
      <c r="R161" s="30" t="s">
        <v>705</v>
      </c>
      <c r="S161" s="30"/>
      <c r="T161" s="30"/>
      <c r="U161"/>
      <c r="V161"/>
      <c r="W161"/>
      <c r="X161"/>
      <c r="Y161"/>
    </row>
    <row r="162" spans="1:25" x14ac:dyDescent="0.3">
      <c r="A162" s="180"/>
      <c r="B162" s="187" t="s">
        <v>486</v>
      </c>
      <c r="C162" s="4" t="s">
        <v>607</v>
      </c>
      <c r="D162" s="133" t="s">
        <v>11</v>
      </c>
      <c r="E162" s="1"/>
      <c r="F162" s="4"/>
      <c r="G162" s="1"/>
      <c r="H162" s="125"/>
      <c r="I162" s="125"/>
      <c r="J162" s="125">
        <v>-110.2</v>
      </c>
      <c r="K162" s="125">
        <v>-110.2</v>
      </c>
      <c r="L162" s="125">
        <f t="shared" si="2"/>
        <v>24917.849999999995</v>
      </c>
      <c r="M162" s="18" t="s">
        <v>90</v>
      </c>
      <c r="N162"/>
      <c r="P162"/>
      <c r="Q162" s="4"/>
      <c r="R162"/>
      <c r="S162"/>
      <c r="T162"/>
      <c r="U162"/>
      <c r="V162"/>
      <c r="W162"/>
      <c r="X162"/>
      <c r="Y162"/>
    </row>
    <row r="163" spans="1:25" x14ac:dyDescent="0.3">
      <c r="A163" s="3"/>
      <c r="B163" s="187" t="s">
        <v>486</v>
      </c>
      <c r="C163" s="4" t="s">
        <v>48</v>
      </c>
      <c r="D163" s="133" t="s">
        <v>12</v>
      </c>
      <c r="E163" s="1"/>
      <c r="F163" s="4"/>
      <c r="G163" s="1"/>
      <c r="H163" s="125"/>
      <c r="I163" s="125"/>
      <c r="J163" s="125">
        <v>-89.82</v>
      </c>
      <c r="K163" s="125">
        <v>-89.82</v>
      </c>
      <c r="L163" s="125">
        <f t="shared" si="2"/>
        <v>24828.029999999995</v>
      </c>
      <c r="M163" s="18" t="s">
        <v>90</v>
      </c>
      <c r="N163"/>
      <c r="P163"/>
      <c r="Q163" s="4"/>
      <c r="R163" t="s">
        <v>584</v>
      </c>
      <c r="S163"/>
      <c r="T163"/>
      <c r="U163"/>
      <c r="V163">
        <v>22551.82</v>
      </c>
      <c r="W163"/>
      <c r="X163"/>
      <c r="Y163"/>
    </row>
    <row r="164" spans="1:25" x14ac:dyDescent="0.3">
      <c r="A164" s="3"/>
      <c r="B164" s="187" t="s">
        <v>486</v>
      </c>
      <c r="C164" s="237" t="s">
        <v>604</v>
      </c>
      <c r="D164" s="133" t="s">
        <v>512</v>
      </c>
      <c r="E164" s="1"/>
      <c r="F164" s="4"/>
      <c r="G164" s="1"/>
      <c r="H164" s="125">
        <v>51</v>
      </c>
      <c r="I164" s="125"/>
      <c r="J164" s="125"/>
      <c r="K164" s="125">
        <v>51</v>
      </c>
      <c r="L164" s="125">
        <f t="shared" si="2"/>
        <v>24879.029999999995</v>
      </c>
      <c r="M164" s="18" t="s">
        <v>90</v>
      </c>
      <c r="N164"/>
      <c r="P164"/>
      <c r="Q164" s="4"/>
      <c r="R164"/>
      <c r="S164"/>
      <c r="T164"/>
      <c r="U164"/>
      <c r="V164"/>
      <c r="W164"/>
      <c r="X164"/>
      <c r="Y164"/>
    </row>
    <row r="165" spans="1:25" x14ac:dyDescent="0.3">
      <c r="A165" s="3"/>
      <c r="B165" s="187" t="s">
        <v>486</v>
      </c>
      <c r="C165" s="4" t="s">
        <v>695</v>
      </c>
      <c r="D165" s="133" t="s">
        <v>500</v>
      </c>
      <c r="E165" s="191" t="s">
        <v>343</v>
      </c>
      <c r="F165" s="4"/>
      <c r="G165" s="193"/>
      <c r="H165" s="192">
        <v>50</v>
      </c>
      <c r="I165" s="125"/>
      <c r="J165" s="125"/>
      <c r="K165" s="125">
        <v>50</v>
      </c>
      <c r="L165" s="125">
        <f t="shared" si="2"/>
        <v>24929.029999999995</v>
      </c>
      <c r="M165" s="18" t="s">
        <v>412</v>
      </c>
      <c r="N165"/>
      <c r="P165"/>
      <c r="Q165" s="4"/>
      <c r="R165" t="s">
        <v>650</v>
      </c>
      <c r="S165"/>
      <c r="T165"/>
      <c r="U165" s="125"/>
      <c r="V165"/>
      <c r="W165"/>
      <c r="X165"/>
      <c r="Y165"/>
    </row>
    <row r="166" spans="1:25" x14ac:dyDescent="0.3">
      <c r="A166" s="3"/>
      <c r="B166" s="187" t="s">
        <v>486</v>
      </c>
      <c r="C166" s="4" t="s">
        <v>695</v>
      </c>
      <c r="D166" s="133" t="s">
        <v>512</v>
      </c>
      <c r="E166" s="1" t="s">
        <v>696</v>
      </c>
      <c r="F166" s="4"/>
      <c r="G166" s="1"/>
      <c r="H166" s="125">
        <v>51</v>
      </c>
      <c r="I166" s="125"/>
      <c r="J166" s="125"/>
      <c r="K166" s="125">
        <v>51</v>
      </c>
      <c r="L166" s="125">
        <f t="shared" si="2"/>
        <v>24980.029999999995</v>
      </c>
      <c r="M166" s="18" t="s">
        <v>412</v>
      </c>
      <c r="N166"/>
      <c r="P166"/>
      <c r="Q166" s="4"/>
      <c r="R166" t="s">
        <v>596</v>
      </c>
      <c r="S166"/>
      <c r="T166"/>
      <c r="U166" s="125">
        <v>8</v>
      </c>
      <c r="V166"/>
      <c r="W166"/>
      <c r="X166"/>
      <c r="Y166"/>
    </row>
    <row r="167" spans="1:25" x14ac:dyDescent="0.3">
      <c r="A167" s="3"/>
      <c r="B167" s="187" t="s">
        <v>486</v>
      </c>
      <c r="C167" s="4" t="s">
        <v>697</v>
      </c>
      <c r="D167" s="133" t="s">
        <v>500</v>
      </c>
      <c r="E167" s="191" t="s">
        <v>760</v>
      </c>
      <c r="F167" s="4"/>
      <c r="G167" s="1"/>
      <c r="H167" s="192">
        <v>50</v>
      </c>
      <c r="I167" s="125"/>
      <c r="J167" s="125"/>
      <c r="K167" s="125">
        <v>50</v>
      </c>
      <c r="L167" s="125">
        <f t="shared" si="2"/>
        <v>25030.029999999995</v>
      </c>
      <c r="M167" s="18" t="s">
        <v>90</v>
      </c>
      <c r="N167" s="25"/>
      <c r="P167"/>
      <c r="Q167" s="4"/>
      <c r="R167"/>
      <c r="S167"/>
      <c r="T167"/>
      <c r="U167" s="125"/>
      <c r="V167" s="125">
        <v>8</v>
      </c>
      <c r="W167"/>
      <c r="X167"/>
      <c r="Y167"/>
    </row>
    <row r="168" spans="1:25" x14ac:dyDescent="0.3">
      <c r="A168" s="3"/>
      <c r="B168" s="187" t="s">
        <v>486</v>
      </c>
      <c r="C168" s="4" t="s">
        <v>573</v>
      </c>
      <c r="D168" s="133" t="s">
        <v>512</v>
      </c>
      <c r="E168" s="4" t="s">
        <v>698</v>
      </c>
      <c r="F168" s="4"/>
      <c r="G168" s="1" t="s">
        <v>714</v>
      </c>
      <c r="H168" s="125"/>
      <c r="I168" s="125"/>
      <c r="J168" s="125">
        <v>-253</v>
      </c>
      <c r="K168" s="125">
        <v>-253</v>
      </c>
      <c r="L168" s="125">
        <f t="shared" si="2"/>
        <v>24777.029999999995</v>
      </c>
      <c r="M168" s="18" t="s">
        <v>412</v>
      </c>
      <c r="N168"/>
      <c r="P168"/>
      <c r="Q168" s="4"/>
      <c r="R168" t="s">
        <v>586</v>
      </c>
      <c r="S168"/>
      <c r="T168"/>
      <c r="U168" s="125"/>
      <c r="V168" s="125"/>
      <c r="W168"/>
      <c r="X168"/>
      <c r="Y168"/>
    </row>
    <row r="169" spans="1:25" x14ac:dyDescent="0.3">
      <c r="A169" s="3"/>
      <c r="B169" s="187" t="s">
        <v>486</v>
      </c>
      <c r="C169" s="4" t="s">
        <v>573</v>
      </c>
      <c r="D169" s="133" t="s">
        <v>504</v>
      </c>
      <c r="E169" s="198" t="s">
        <v>779</v>
      </c>
      <c r="F169" s="4"/>
      <c r="G169" s="1" t="s">
        <v>714</v>
      </c>
      <c r="H169" s="125"/>
      <c r="I169" s="125"/>
      <c r="J169" s="192">
        <v>-100</v>
      </c>
      <c r="K169" s="125">
        <v>-100</v>
      </c>
      <c r="L169" s="125">
        <f t="shared" si="2"/>
        <v>24677.029999999995</v>
      </c>
      <c r="M169" s="18" t="s">
        <v>412</v>
      </c>
      <c r="N169"/>
      <c r="P169"/>
      <c r="Q169" s="4"/>
      <c r="R169"/>
      <c r="S169"/>
      <c r="T169"/>
      <c r="U169" s="125"/>
      <c r="V169" s="125"/>
      <c r="W169"/>
      <c r="X169"/>
      <c r="Y169"/>
    </row>
    <row r="170" spans="1:25" x14ac:dyDescent="0.3">
      <c r="A170" s="3"/>
      <c r="B170" s="187" t="s">
        <v>486</v>
      </c>
      <c r="C170" s="4" t="s">
        <v>533</v>
      </c>
      <c r="D170" s="133" t="s">
        <v>12</v>
      </c>
      <c r="E170" s="1" t="s">
        <v>699</v>
      </c>
      <c r="F170" s="4"/>
      <c r="G170" s="1"/>
      <c r="H170" s="125"/>
      <c r="I170" s="125"/>
      <c r="J170" s="125">
        <v>-7.21</v>
      </c>
      <c r="K170" s="125">
        <v>-7.21</v>
      </c>
      <c r="L170" s="125">
        <f t="shared" si="2"/>
        <v>24669.819999999996</v>
      </c>
      <c r="M170" s="18" t="s">
        <v>90</v>
      </c>
      <c r="N170"/>
      <c r="P170"/>
      <c r="Q170" s="4"/>
      <c r="R170"/>
      <c r="S170">
        <v>500125</v>
      </c>
      <c r="T170"/>
      <c r="U170" s="125">
        <v>-20</v>
      </c>
      <c r="V170"/>
      <c r="W170"/>
      <c r="X170"/>
      <c r="Y170"/>
    </row>
    <row r="171" spans="1:25" x14ac:dyDescent="0.3">
      <c r="A171" s="3"/>
      <c r="B171" s="187" t="s">
        <v>486</v>
      </c>
      <c r="C171" s="4" t="s">
        <v>700</v>
      </c>
      <c r="D171" s="133" t="s">
        <v>518</v>
      </c>
      <c r="E171" s="1" t="s">
        <v>701</v>
      </c>
      <c r="F171" s="4"/>
      <c r="G171" s="1"/>
      <c r="H171" s="125"/>
      <c r="I171" s="125"/>
      <c r="J171" s="125">
        <v>-1320</v>
      </c>
      <c r="K171" s="125">
        <v>-1320</v>
      </c>
      <c r="L171" s="125">
        <f t="shared" si="2"/>
        <v>23349.819999999996</v>
      </c>
      <c r="M171" s="16" t="s">
        <v>90</v>
      </c>
      <c r="N171"/>
      <c r="P171"/>
      <c r="Q171" s="4"/>
      <c r="R171"/>
      <c r="S171">
        <v>500178</v>
      </c>
      <c r="T171"/>
      <c r="U171" s="125">
        <v>-20</v>
      </c>
      <c r="V171"/>
      <c r="W171"/>
      <c r="X171" t="s">
        <v>90</v>
      </c>
      <c r="Y171"/>
    </row>
    <row r="172" spans="1:25" x14ac:dyDescent="0.3">
      <c r="A172" s="3"/>
      <c r="B172" s="187" t="s">
        <v>486</v>
      </c>
      <c r="C172" s="4" t="s">
        <v>700</v>
      </c>
      <c r="D172" s="133" t="s">
        <v>518</v>
      </c>
      <c r="E172" s="1" t="s">
        <v>702</v>
      </c>
      <c r="F172" s="4"/>
      <c r="G172" s="1"/>
      <c r="H172" s="125"/>
      <c r="I172" s="125"/>
      <c r="J172" s="125">
        <v>-1320</v>
      </c>
      <c r="K172" s="125">
        <v>-1320</v>
      </c>
      <c r="L172" s="125">
        <f t="shared" si="2"/>
        <v>22029.819999999996</v>
      </c>
      <c r="M172" s="18" t="s">
        <v>90</v>
      </c>
      <c r="N172"/>
      <c r="P172"/>
      <c r="Q172" s="4"/>
      <c r="R172" t="s">
        <v>706</v>
      </c>
      <c r="S172"/>
      <c r="T172"/>
      <c r="U172">
        <v>-353</v>
      </c>
      <c r="V172" s="125"/>
      <c r="W172"/>
      <c r="X172" t="s">
        <v>90</v>
      </c>
      <c r="Y172"/>
    </row>
    <row r="173" spans="1:25" x14ac:dyDescent="0.3">
      <c r="A173" s="3"/>
      <c r="B173" s="187" t="s">
        <v>486</v>
      </c>
      <c r="C173" s="4" t="s">
        <v>346</v>
      </c>
      <c r="D173" s="133" t="s">
        <v>513</v>
      </c>
      <c r="E173" s="197" t="s">
        <v>347</v>
      </c>
      <c r="F173" s="4"/>
      <c r="G173" s="1"/>
      <c r="H173" s="190">
        <v>272</v>
      </c>
      <c r="I173" s="125"/>
      <c r="J173" s="125"/>
      <c r="K173" s="125">
        <v>272</v>
      </c>
      <c r="L173" s="125">
        <f t="shared" si="2"/>
        <v>22301.819999999996</v>
      </c>
      <c r="M173" s="18" t="s">
        <v>90</v>
      </c>
      <c r="N173"/>
      <c r="P173"/>
      <c r="Q173" s="4"/>
      <c r="R173"/>
      <c r="S173"/>
      <c r="T173"/>
      <c r="U173" s="125"/>
      <c r="V173"/>
      <c r="W173"/>
      <c r="X173"/>
      <c r="Y173"/>
    </row>
    <row r="174" spans="1:25" x14ac:dyDescent="0.3">
      <c r="A174" s="3"/>
      <c r="B174" s="187" t="s">
        <v>486</v>
      </c>
      <c r="C174" s="4" t="s">
        <v>703</v>
      </c>
      <c r="D174" s="133" t="s">
        <v>13</v>
      </c>
      <c r="E174" s="1" t="s">
        <v>253</v>
      </c>
      <c r="F174" s="4"/>
      <c r="G174" s="1" t="s">
        <v>49</v>
      </c>
      <c r="H174" s="125"/>
      <c r="I174" s="125"/>
      <c r="J174" s="125">
        <v>-35</v>
      </c>
      <c r="K174" s="125">
        <v>-35</v>
      </c>
      <c r="L174" s="125">
        <f t="shared" si="2"/>
        <v>22266.819999999996</v>
      </c>
      <c r="M174" s="18" t="s">
        <v>90</v>
      </c>
      <c r="N174"/>
      <c r="P174"/>
      <c r="Q174" s="4"/>
      <c r="R174"/>
      <c r="S174"/>
      <c r="T174"/>
      <c r="U174"/>
      <c r="V174" s="125">
        <v>-393</v>
      </c>
      <c r="W174"/>
      <c r="X174"/>
      <c r="Y174"/>
    </row>
    <row r="175" spans="1:25" x14ac:dyDescent="0.3">
      <c r="A175" s="3"/>
      <c r="B175" s="187" t="s">
        <v>486</v>
      </c>
      <c r="C175" s="4" t="s">
        <v>720</v>
      </c>
      <c r="D175" s="133" t="s">
        <v>504</v>
      </c>
      <c r="E175" s="191" t="s">
        <v>704</v>
      </c>
      <c r="F175" s="4"/>
      <c r="G175" s="1">
        <v>500183</v>
      </c>
      <c r="H175" s="125"/>
      <c r="I175" s="125"/>
      <c r="J175" s="192">
        <v>-50</v>
      </c>
      <c r="K175" s="125">
        <v>-50</v>
      </c>
      <c r="L175" s="125">
        <f t="shared" si="2"/>
        <v>22216.819999999996</v>
      </c>
      <c r="M175" s="18" t="s">
        <v>90</v>
      </c>
      <c r="N175"/>
      <c r="P175"/>
      <c r="Q175" s="4"/>
      <c r="R175"/>
      <c r="S175"/>
      <c r="T175"/>
      <c r="U175"/>
      <c r="V175"/>
      <c r="W175"/>
      <c r="X175"/>
      <c r="Y175"/>
    </row>
    <row r="176" spans="1:25" x14ac:dyDescent="0.3">
      <c r="A176" s="3"/>
      <c r="B176" s="187" t="s">
        <v>486</v>
      </c>
      <c r="C176" s="4" t="s">
        <v>723</v>
      </c>
      <c r="D176" s="133" t="s">
        <v>504</v>
      </c>
      <c r="E176" s="191" t="s">
        <v>724</v>
      </c>
      <c r="F176" s="4"/>
      <c r="G176" s="1">
        <v>500186</v>
      </c>
      <c r="H176" s="125"/>
      <c r="I176" s="125"/>
      <c r="J176" s="192">
        <v>-50</v>
      </c>
      <c r="K176" s="125">
        <v>-50</v>
      </c>
      <c r="L176" s="125">
        <f t="shared" si="2"/>
        <v>22166.819999999996</v>
      </c>
      <c r="M176" s="18" t="s">
        <v>90</v>
      </c>
      <c r="N176"/>
      <c r="P176"/>
      <c r="Q176" s="4"/>
      <c r="R176"/>
      <c r="S176"/>
      <c r="T176"/>
      <c r="U176"/>
      <c r="V176"/>
      <c r="W176"/>
      <c r="X176"/>
      <c r="Y176"/>
    </row>
    <row r="177" spans="1:25" x14ac:dyDescent="0.3">
      <c r="A177" s="3"/>
      <c r="B177" s="187"/>
      <c r="C177" s="4"/>
      <c r="D177" s="4"/>
      <c r="E177" s="1"/>
      <c r="F177" s="4"/>
      <c r="G177" s="1"/>
      <c r="H177" s="125"/>
      <c r="I177" s="125"/>
      <c r="J177" s="125"/>
      <c r="K177" s="125"/>
      <c r="L177" s="125">
        <f t="shared" si="2"/>
        <v>22166.819999999996</v>
      </c>
      <c r="N177"/>
      <c r="P177"/>
      <c r="Q177" s="4"/>
      <c r="R177" t="s">
        <v>652</v>
      </c>
      <c r="S177"/>
      <c r="T177"/>
      <c r="U177"/>
      <c r="V177">
        <v>22166.82</v>
      </c>
      <c r="W177"/>
      <c r="X177" t="s">
        <v>588</v>
      </c>
      <c r="Y177"/>
    </row>
    <row r="178" spans="1:25" x14ac:dyDescent="0.3">
      <c r="A178" s="28" t="s">
        <v>712</v>
      </c>
      <c r="B178" s="187"/>
      <c r="C178" s="4"/>
      <c r="D178" s="4"/>
      <c r="E178" s="1"/>
      <c r="F178" s="4"/>
      <c r="G178" s="1"/>
      <c r="H178" s="125"/>
      <c r="I178" s="125"/>
      <c r="J178" s="125"/>
      <c r="K178" s="125"/>
      <c r="L178" s="125">
        <f t="shared" si="2"/>
        <v>22166.819999999996</v>
      </c>
      <c r="M178" s="16"/>
      <c r="N178"/>
      <c r="P178"/>
      <c r="Q178" s="4"/>
      <c r="R178"/>
      <c r="S178"/>
      <c r="T178"/>
      <c r="U178"/>
      <c r="V178"/>
      <c r="W178"/>
      <c r="X178"/>
      <c r="Y178"/>
    </row>
    <row r="179" spans="1:25" x14ac:dyDescent="0.3">
      <c r="A179" s="174"/>
      <c r="B179" s="194" t="s">
        <v>487</v>
      </c>
      <c r="C179" s="4" t="s">
        <v>707</v>
      </c>
      <c r="D179" s="133" t="s">
        <v>518</v>
      </c>
      <c r="E179" s="1" t="s">
        <v>708</v>
      </c>
      <c r="F179" s="4"/>
      <c r="G179" s="1"/>
      <c r="H179" s="125"/>
      <c r="I179" s="125"/>
      <c r="J179" s="125">
        <v>-990</v>
      </c>
      <c r="K179" s="125">
        <v>-990</v>
      </c>
      <c r="L179" s="125">
        <f t="shared" si="2"/>
        <v>21176.819999999996</v>
      </c>
      <c r="M179" s="18" t="s">
        <v>90</v>
      </c>
      <c r="N179"/>
      <c r="P179"/>
      <c r="Q179" s="4"/>
      <c r="R179"/>
      <c r="S179"/>
      <c r="T179"/>
      <c r="U179"/>
      <c r="V179"/>
      <c r="W179"/>
      <c r="X179"/>
      <c r="Y179"/>
    </row>
    <row r="180" spans="1:25" x14ac:dyDescent="0.3">
      <c r="A180" s="174"/>
      <c r="B180" s="194" t="s">
        <v>487</v>
      </c>
      <c r="C180" s="4" t="s">
        <v>709</v>
      </c>
      <c r="D180" s="133" t="s">
        <v>504</v>
      </c>
      <c r="E180" s="191" t="s">
        <v>710</v>
      </c>
      <c r="F180" s="4"/>
      <c r="G180" s="1"/>
      <c r="H180" s="125"/>
      <c r="I180" s="125"/>
      <c r="J180" s="192">
        <v>-250</v>
      </c>
      <c r="K180" s="125">
        <v>-250</v>
      </c>
      <c r="L180" s="125">
        <f t="shared" si="2"/>
        <v>20926.819999999996</v>
      </c>
      <c r="M180" s="18" t="s">
        <v>90</v>
      </c>
      <c r="N180"/>
      <c r="P180"/>
      <c r="Q180" s="4"/>
      <c r="R180"/>
      <c r="S180"/>
      <c r="T180"/>
      <c r="U180"/>
      <c r="V180"/>
      <c r="W180"/>
      <c r="X180"/>
      <c r="Y180"/>
    </row>
    <row r="181" spans="1:25" x14ac:dyDescent="0.3">
      <c r="A181" s="174"/>
      <c r="B181" s="194" t="s">
        <v>487</v>
      </c>
      <c r="C181" s="4" t="s">
        <v>654</v>
      </c>
      <c r="D181" s="133" t="s">
        <v>9</v>
      </c>
      <c r="E181" s="1" t="s">
        <v>486</v>
      </c>
      <c r="F181" s="4"/>
      <c r="G181" s="1"/>
      <c r="H181" s="125"/>
      <c r="I181" s="125"/>
      <c r="J181" s="125">
        <v>-122.27</v>
      </c>
      <c r="K181" s="125">
        <v>-122.27</v>
      </c>
      <c r="L181" s="125">
        <f t="shared" si="2"/>
        <v>20804.549999999996</v>
      </c>
      <c r="M181" s="18" t="s">
        <v>90</v>
      </c>
      <c r="N181"/>
      <c r="P181"/>
      <c r="Q181" s="4"/>
      <c r="R181"/>
      <c r="S181"/>
      <c r="T181"/>
      <c r="U181"/>
      <c r="V181"/>
      <c r="W181"/>
      <c r="X181"/>
      <c r="Y181"/>
    </row>
    <row r="182" spans="1:25" x14ac:dyDescent="0.3">
      <c r="A182" s="174"/>
      <c r="B182" s="194" t="s">
        <v>487</v>
      </c>
      <c r="C182" s="4" t="s">
        <v>533</v>
      </c>
      <c r="D182" s="133" t="s">
        <v>12</v>
      </c>
      <c r="E182" s="1"/>
      <c r="F182" s="4"/>
      <c r="G182" s="1"/>
      <c r="H182" s="125"/>
      <c r="I182" s="125"/>
      <c r="J182" s="125">
        <v>-295.61</v>
      </c>
      <c r="K182" s="125">
        <v>-295.61</v>
      </c>
      <c r="L182" s="125">
        <f t="shared" si="2"/>
        <v>20508.939999999995</v>
      </c>
      <c r="M182" s="18" t="s">
        <v>90</v>
      </c>
      <c r="N182"/>
      <c r="P182"/>
      <c r="Q182" s="4"/>
      <c r="R182"/>
      <c r="S182"/>
      <c r="T182"/>
      <c r="U182"/>
      <c r="V182"/>
      <c r="W182"/>
      <c r="X182"/>
      <c r="Y182"/>
    </row>
    <row r="183" spans="1:25" x14ac:dyDescent="0.3">
      <c r="A183" s="174"/>
      <c r="B183" s="194" t="s">
        <v>487</v>
      </c>
      <c r="C183" s="4" t="s">
        <v>299</v>
      </c>
      <c r="D183" s="133" t="s">
        <v>301</v>
      </c>
      <c r="E183" s="1"/>
      <c r="F183" s="4"/>
      <c r="G183" s="1"/>
      <c r="H183" s="125"/>
      <c r="I183" s="125"/>
      <c r="J183" s="125">
        <v>-34.68</v>
      </c>
      <c r="K183" s="125">
        <v>-34.68</v>
      </c>
      <c r="L183" s="125">
        <f t="shared" si="2"/>
        <v>20474.259999999995</v>
      </c>
      <c r="M183" s="18" t="s">
        <v>90</v>
      </c>
      <c r="N183"/>
      <c r="P183"/>
      <c r="Q183" s="4"/>
      <c r="R183"/>
      <c r="S183"/>
      <c r="T183"/>
      <c r="U183"/>
      <c r="V183"/>
      <c r="W183"/>
      <c r="X183"/>
      <c r="Y183"/>
    </row>
    <row r="184" spans="1:25" x14ac:dyDescent="0.3">
      <c r="A184" s="174"/>
      <c r="B184" s="194" t="s">
        <v>487</v>
      </c>
      <c r="C184" s="4" t="s">
        <v>607</v>
      </c>
      <c r="D184" s="133" t="s">
        <v>11</v>
      </c>
      <c r="E184" s="1"/>
      <c r="F184" s="4"/>
      <c r="G184" s="1"/>
      <c r="H184" s="125"/>
      <c r="I184" s="125"/>
      <c r="J184" s="125">
        <v>-110.2</v>
      </c>
      <c r="K184" s="125">
        <v>-110.2</v>
      </c>
      <c r="L184" s="125">
        <f t="shared" si="2"/>
        <v>20364.059999999994</v>
      </c>
      <c r="M184" s="18" t="s">
        <v>90</v>
      </c>
      <c r="N184"/>
      <c r="P184"/>
      <c r="Q184" s="4"/>
      <c r="R184"/>
      <c r="S184"/>
      <c r="T184"/>
      <c r="U184"/>
      <c r="V184"/>
      <c r="W184"/>
      <c r="X184"/>
      <c r="Y184"/>
    </row>
    <row r="185" spans="1:25" x14ac:dyDescent="0.3">
      <c r="A185" s="174"/>
      <c r="B185" s="194" t="s">
        <v>487</v>
      </c>
      <c r="C185" s="4" t="s">
        <v>48</v>
      </c>
      <c r="D185" s="133" t="s">
        <v>12</v>
      </c>
      <c r="E185" s="1"/>
      <c r="F185" s="4"/>
      <c r="G185" s="1"/>
      <c r="H185" s="125"/>
      <c r="I185" s="125"/>
      <c r="J185" s="125">
        <v>-89.82</v>
      </c>
      <c r="K185" s="125">
        <v>-89.82</v>
      </c>
      <c r="L185" s="125">
        <f t="shared" si="2"/>
        <v>20274.239999999994</v>
      </c>
      <c r="M185" s="18" t="s">
        <v>90</v>
      </c>
      <c r="N185"/>
      <c r="P185"/>
      <c r="Q185" s="4"/>
      <c r="R185"/>
      <c r="S185"/>
      <c r="T185"/>
      <c r="U185"/>
      <c r="V185"/>
      <c r="W185"/>
      <c r="X185"/>
      <c r="Y185"/>
    </row>
    <row r="186" spans="1:25" x14ac:dyDescent="0.3">
      <c r="A186" s="3"/>
      <c r="B186" s="194" t="s">
        <v>487</v>
      </c>
      <c r="C186" s="4" t="s">
        <v>658</v>
      </c>
      <c r="D186" s="133" t="s">
        <v>514</v>
      </c>
      <c r="E186" s="1"/>
      <c r="F186"/>
      <c r="G186" s="1"/>
      <c r="H186" s="125">
        <v>100</v>
      </c>
      <c r="I186" s="125"/>
      <c r="J186" s="125"/>
      <c r="K186" s="125">
        <v>100</v>
      </c>
      <c r="L186" s="125">
        <f t="shared" si="2"/>
        <v>20374.239999999994</v>
      </c>
      <c r="M186" s="18" t="s">
        <v>90</v>
      </c>
      <c r="N186"/>
      <c r="P186"/>
      <c r="Q186" s="4"/>
      <c r="R186"/>
      <c r="S186"/>
      <c r="T186"/>
      <c r="U186"/>
      <c r="V186"/>
      <c r="W186"/>
      <c r="X186"/>
      <c r="Y186"/>
    </row>
    <row r="187" spans="1:25" x14ac:dyDescent="0.3">
      <c r="A187" s="174"/>
      <c r="B187" s="194" t="s">
        <v>487</v>
      </c>
      <c r="C187" s="237" t="s">
        <v>604</v>
      </c>
      <c r="D187" s="133" t="s">
        <v>512</v>
      </c>
      <c r="E187" s="1"/>
      <c r="F187" s="4"/>
      <c r="G187" s="1"/>
      <c r="H187" s="125">
        <v>76.5</v>
      </c>
      <c r="I187" s="125"/>
      <c r="J187" s="125"/>
      <c r="K187" s="125">
        <v>76.5</v>
      </c>
      <c r="L187" s="125">
        <f t="shared" si="2"/>
        <v>20450.739999999994</v>
      </c>
      <c r="M187" s="18" t="s">
        <v>90</v>
      </c>
      <c r="N187"/>
      <c r="P187"/>
      <c r="Q187" s="4"/>
      <c r="R187"/>
      <c r="S187"/>
      <c r="T187"/>
      <c r="U187"/>
      <c r="V187"/>
      <c r="W187"/>
      <c r="X187"/>
      <c r="Y187"/>
    </row>
    <row r="188" spans="1:25" x14ac:dyDescent="0.3">
      <c r="A188" s="174"/>
      <c r="B188" s="194" t="s">
        <v>487</v>
      </c>
      <c r="C188" s="4" t="s">
        <v>713</v>
      </c>
      <c r="D188" s="133" t="s">
        <v>504</v>
      </c>
      <c r="E188" s="198" t="s">
        <v>147</v>
      </c>
      <c r="F188" s="4"/>
      <c r="G188" s="1" t="s">
        <v>464</v>
      </c>
      <c r="H188" s="125"/>
      <c r="I188" s="125"/>
      <c r="J188" s="192">
        <v>-50</v>
      </c>
      <c r="K188" s="125">
        <v>-50</v>
      </c>
      <c r="L188" s="125">
        <f t="shared" si="2"/>
        <v>20400.739999999994</v>
      </c>
      <c r="M188" s="18" t="s">
        <v>90</v>
      </c>
      <c r="N188"/>
      <c r="P188"/>
      <c r="Q188" s="4"/>
      <c r="R188"/>
      <c r="S188"/>
      <c r="T188"/>
      <c r="U188"/>
      <c r="V188"/>
      <c r="W188"/>
      <c r="X188"/>
      <c r="Y188"/>
    </row>
    <row r="189" spans="1:25" x14ac:dyDescent="0.3">
      <c r="A189" s="174"/>
      <c r="B189" s="194" t="s">
        <v>487</v>
      </c>
      <c r="C189" s="4" t="s">
        <v>675</v>
      </c>
      <c r="D189" s="133" t="s">
        <v>512</v>
      </c>
      <c r="E189" s="1"/>
      <c r="F189" s="17"/>
      <c r="G189" s="1"/>
      <c r="H189" s="125">
        <v>8</v>
      </c>
      <c r="I189" s="125"/>
      <c r="J189" s="125"/>
      <c r="K189" s="125">
        <v>8</v>
      </c>
      <c r="L189" s="125">
        <f t="shared" si="2"/>
        <v>20408.739999999994</v>
      </c>
      <c r="M189" s="18" t="s">
        <v>90</v>
      </c>
      <c r="N189"/>
      <c r="P189"/>
      <c r="Q189" s="4"/>
      <c r="R189"/>
      <c r="S189"/>
      <c r="T189"/>
      <c r="U189"/>
      <c r="V189"/>
      <c r="W189"/>
      <c r="X189"/>
      <c r="Y189"/>
    </row>
    <row r="190" spans="1:25" x14ac:dyDescent="0.3">
      <c r="A190" s="3"/>
      <c r="B190" s="194" t="s">
        <v>487</v>
      </c>
      <c r="C190" s="4" t="s">
        <v>717</v>
      </c>
      <c r="D190" s="133" t="s">
        <v>512</v>
      </c>
      <c r="E190" s="1" t="s">
        <v>718</v>
      </c>
      <c r="F190" s="4"/>
      <c r="G190" s="1"/>
      <c r="H190" s="125">
        <v>59.5</v>
      </c>
      <c r="I190" s="125"/>
      <c r="J190" s="125"/>
      <c r="K190" s="125">
        <v>59.5</v>
      </c>
      <c r="L190" s="125">
        <f t="shared" si="2"/>
        <v>20468.239999999994</v>
      </c>
      <c r="M190" s="18" t="s">
        <v>90</v>
      </c>
      <c r="N190"/>
      <c r="P190"/>
      <c r="Q190" s="4"/>
      <c r="R190"/>
      <c r="S190"/>
      <c r="T190"/>
      <c r="U190"/>
      <c r="V190"/>
      <c r="W190"/>
      <c r="X190"/>
      <c r="Y190"/>
    </row>
    <row r="191" spans="1:25" x14ac:dyDescent="0.3">
      <c r="A191" s="3"/>
      <c r="B191" s="194" t="s">
        <v>487</v>
      </c>
      <c r="C191" s="4" t="s">
        <v>717</v>
      </c>
      <c r="D191" s="133" t="s">
        <v>500</v>
      </c>
      <c r="E191" s="191" t="s">
        <v>358</v>
      </c>
      <c r="F191" s="4"/>
      <c r="G191" s="1"/>
      <c r="H191" s="192">
        <v>50</v>
      </c>
      <c r="I191" s="125"/>
      <c r="J191" s="125"/>
      <c r="K191" s="125">
        <v>50</v>
      </c>
      <c r="L191" s="125">
        <f t="shared" si="2"/>
        <v>20518.239999999994</v>
      </c>
      <c r="M191" s="18" t="s">
        <v>90</v>
      </c>
      <c r="N191"/>
      <c r="P191"/>
      <c r="Q191" s="4"/>
      <c r="R191" s="30" t="s">
        <v>741</v>
      </c>
      <c r="S191" s="30"/>
      <c r="T191" s="30"/>
      <c r="U191"/>
      <c r="V191"/>
      <c r="W191"/>
      <c r="X191"/>
      <c r="Y191"/>
    </row>
    <row r="192" spans="1:25" x14ac:dyDescent="0.3">
      <c r="A192" s="3"/>
      <c r="B192" s="194" t="s">
        <v>487</v>
      </c>
      <c r="C192" s="4" t="s">
        <v>717</v>
      </c>
      <c r="D192" s="133" t="s">
        <v>504</v>
      </c>
      <c r="E192" s="191" t="s">
        <v>721</v>
      </c>
      <c r="F192" s="4"/>
      <c r="G192" s="1">
        <v>500187</v>
      </c>
      <c r="H192" s="125"/>
      <c r="I192" s="125"/>
      <c r="J192" s="192">
        <v>-50</v>
      </c>
      <c r="K192" s="125">
        <v>-50</v>
      </c>
      <c r="L192" s="125">
        <f t="shared" si="2"/>
        <v>20468.239999999994</v>
      </c>
      <c r="M192" s="16" t="s">
        <v>90</v>
      </c>
      <c r="N192" s="18"/>
      <c r="P192"/>
      <c r="Q192" s="4"/>
      <c r="R192"/>
      <c r="S192"/>
      <c r="T192"/>
      <c r="U192"/>
      <c r="V192"/>
      <c r="W192"/>
      <c r="X192"/>
      <c r="Y192"/>
    </row>
    <row r="193" spans="1:25" x14ac:dyDescent="0.3">
      <c r="A193" s="174"/>
      <c r="B193" s="194" t="s">
        <v>487</v>
      </c>
      <c r="C193" s="4" t="s">
        <v>695</v>
      </c>
      <c r="D193" s="133" t="s">
        <v>504</v>
      </c>
      <c r="E193" s="191" t="s">
        <v>719</v>
      </c>
      <c r="F193" s="4"/>
      <c r="G193" s="1">
        <v>500184</v>
      </c>
      <c r="H193" s="125"/>
      <c r="I193" s="125"/>
      <c r="J193" s="192">
        <v>-50</v>
      </c>
      <c r="K193" s="125">
        <v>-50</v>
      </c>
      <c r="L193" s="125">
        <f t="shared" si="2"/>
        <v>20418.239999999994</v>
      </c>
      <c r="M193" s="18" t="s">
        <v>90</v>
      </c>
      <c r="N193"/>
      <c r="P193"/>
      <c r="Q193" s="4"/>
      <c r="R193" t="s">
        <v>584</v>
      </c>
      <c r="S193"/>
      <c r="T193"/>
      <c r="U193"/>
      <c r="V193">
        <v>21476.95</v>
      </c>
      <c r="W193"/>
      <c r="X193"/>
      <c r="Y193"/>
    </row>
    <row r="194" spans="1:25" x14ac:dyDescent="0.3">
      <c r="A194" s="3"/>
      <c r="B194" s="194" t="s">
        <v>487</v>
      </c>
      <c r="C194" s="4" t="s">
        <v>680</v>
      </c>
      <c r="D194" s="133" t="s">
        <v>504</v>
      </c>
      <c r="E194" s="191" t="s">
        <v>722</v>
      </c>
      <c r="F194" s="4"/>
      <c r="G194" s="1">
        <v>500185</v>
      </c>
      <c r="H194" s="125"/>
      <c r="I194" s="125"/>
      <c r="J194" s="192">
        <v>-50</v>
      </c>
      <c r="K194" s="125">
        <v>-50</v>
      </c>
      <c r="L194" s="125">
        <f t="shared" si="2"/>
        <v>20368.239999999994</v>
      </c>
      <c r="M194" s="18" t="s">
        <v>90</v>
      </c>
      <c r="N194" s="30"/>
      <c r="P194"/>
      <c r="Q194" s="4"/>
      <c r="R194"/>
      <c r="S194"/>
      <c r="T194"/>
      <c r="U194"/>
      <c r="V194"/>
      <c r="W194"/>
      <c r="X194"/>
      <c r="Y194"/>
    </row>
    <row r="195" spans="1:25" x14ac:dyDescent="0.3">
      <c r="A195" s="174"/>
      <c r="B195" s="194" t="s">
        <v>487</v>
      </c>
      <c r="C195" s="4" t="s">
        <v>655</v>
      </c>
      <c r="D195" s="133" t="s">
        <v>504</v>
      </c>
      <c r="E195" s="191" t="s">
        <v>725</v>
      </c>
      <c r="F195"/>
      <c r="G195" s="1">
        <v>500182</v>
      </c>
      <c r="H195" s="125"/>
      <c r="I195" s="125"/>
      <c r="J195" s="192">
        <v>-50</v>
      </c>
      <c r="K195" s="125">
        <v>-50</v>
      </c>
      <c r="L195" s="125">
        <f t="shared" si="2"/>
        <v>20318.239999999994</v>
      </c>
      <c r="M195" s="18" t="s">
        <v>90</v>
      </c>
      <c r="N195"/>
      <c r="P195"/>
      <c r="Q195" s="4"/>
      <c r="R195" t="s">
        <v>650</v>
      </c>
      <c r="S195"/>
      <c r="T195"/>
      <c r="U195" s="125"/>
      <c r="V195"/>
      <c r="W195"/>
      <c r="X195"/>
      <c r="Y195"/>
    </row>
    <row r="196" spans="1:25" x14ac:dyDescent="0.3">
      <c r="A196" s="3"/>
      <c r="B196" s="194" t="s">
        <v>487</v>
      </c>
      <c r="C196" s="4" t="s">
        <v>165</v>
      </c>
      <c r="D196" s="133" t="s">
        <v>513</v>
      </c>
      <c r="E196" s="1" t="s">
        <v>726</v>
      </c>
      <c r="F196" s="4"/>
      <c r="G196" s="1"/>
      <c r="H196" s="190">
        <v>56</v>
      </c>
      <c r="I196" s="125"/>
      <c r="J196" s="192"/>
      <c r="K196" s="125">
        <v>56</v>
      </c>
      <c r="L196" s="125">
        <f t="shared" si="2"/>
        <v>20374.239999999994</v>
      </c>
      <c r="M196" s="18" t="s">
        <v>90</v>
      </c>
      <c r="N196"/>
      <c r="P196"/>
      <c r="Q196" s="4"/>
      <c r="R196" t="s">
        <v>596</v>
      </c>
      <c r="S196"/>
      <c r="T196"/>
      <c r="U196" s="125">
        <v>8</v>
      </c>
      <c r="V196"/>
      <c r="W196"/>
      <c r="X196"/>
      <c r="Y196"/>
    </row>
    <row r="197" spans="1:25" x14ac:dyDescent="0.3">
      <c r="A197" s="174"/>
      <c r="B197" s="194" t="s">
        <v>487</v>
      </c>
      <c r="C197" s="4" t="s">
        <v>571</v>
      </c>
      <c r="D197" s="133" t="s">
        <v>512</v>
      </c>
      <c r="E197" s="1"/>
      <c r="F197" s="4"/>
      <c r="G197" s="1"/>
      <c r="H197" s="125">
        <v>24</v>
      </c>
      <c r="I197" s="125"/>
      <c r="J197" s="125"/>
      <c r="K197" s="125">
        <v>24</v>
      </c>
      <c r="L197" s="125">
        <f t="shared" si="2"/>
        <v>20398.239999999994</v>
      </c>
      <c r="M197" s="18" t="s">
        <v>90</v>
      </c>
      <c r="N197"/>
      <c r="P197"/>
      <c r="Q197" s="4"/>
      <c r="R197"/>
      <c r="S197"/>
      <c r="T197"/>
      <c r="U197" s="125"/>
      <c r="V197" s="125">
        <v>8</v>
      </c>
      <c r="W197"/>
      <c r="X197"/>
      <c r="Y197"/>
    </row>
    <row r="198" spans="1:25" x14ac:dyDescent="0.3">
      <c r="A198" s="174"/>
      <c r="B198" s="194" t="s">
        <v>487</v>
      </c>
      <c r="C198" s="4" t="s">
        <v>727</v>
      </c>
      <c r="D198" s="133" t="s">
        <v>512</v>
      </c>
      <c r="E198" s="1" t="s">
        <v>728</v>
      </c>
      <c r="F198" s="4"/>
      <c r="G198" s="1" t="s">
        <v>399</v>
      </c>
      <c r="H198" s="125">
        <v>85</v>
      </c>
      <c r="I198" s="125"/>
      <c r="J198" s="125"/>
      <c r="K198" s="125">
        <v>85</v>
      </c>
      <c r="L198" s="125">
        <f t="shared" si="2"/>
        <v>20483.239999999994</v>
      </c>
      <c r="M198" s="18" t="s">
        <v>90</v>
      </c>
      <c r="N198"/>
      <c r="P198"/>
      <c r="Q198" s="4"/>
      <c r="R198" t="s">
        <v>586</v>
      </c>
      <c r="S198"/>
      <c r="T198"/>
      <c r="U198" s="125"/>
      <c r="V198" s="125"/>
      <c r="W198"/>
      <c r="X198"/>
      <c r="Y198"/>
    </row>
    <row r="199" spans="1:25" x14ac:dyDescent="0.3">
      <c r="A199" s="174"/>
      <c r="B199" s="194" t="s">
        <v>487</v>
      </c>
      <c r="C199" s="4" t="s">
        <v>727</v>
      </c>
      <c r="D199" s="133" t="s">
        <v>500</v>
      </c>
      <c r="E199" s="191" t="s">
        <v>404</v>
      </c>
      <c r="F199" s="4"/>
      <c r="G199" s="1" t="s">
        <v>399</v>
      </c>
      <c r="H199" s="192">
        <v>50</v>
      </c>
      <c r="I199" s="125"/>
      <c r="J199" s="125"/>
      <c r="K199" s="125">
        <v>50</v>
      </c>
      <c r="L199" s="125">
        <f t="shared" si="2"/>
        <v>20533.239999999994</v>
      </c>
      <c r="M199" s="18" t="s">
        <v>90</v>
      </c>
      <c r="N199"/>
      <c r="P199"/>
      <c r="Q199" s="4"/>
      <c r="R199"/>
      <c r="S199"/>
      <c r="T199"/>
      <c r="U199" s="125"/>
      <c r="V199" s="125"/>
      <c r="W199"/>
      <c r="X199"/>
      <c r="Y199"/>
    </row>
    <row r="200" spans="1:25" x14ac:dyDescent="0.3">
      <c r="A200" s="3"/>
      <c r="B200" s="194" t="s">
        <v>487</v>
      </c>
      <c r="C200" s="4" t="s">
        <v>447</v>
      </c>
      <c r="D200" s="133" t="s">
        <v>512</v>
      </c>
      <c r="E200" s="1" t="s">
        <v>732</v>
      </c>
      <c r="F200" s="4"/>
      <c r="G200" s="1"/>
      <c r="H200" s="125">
        <v>40</v>
      </c>
      <c r="I200" s="125"/>
      <c r="J200" s="125"/>
      <c r="K200" s="125">
        <v>40</v>
      </c>
      <c r="L200" s="125">
        <f t="shared" si="2"/>
        <v>20573.239999999994</v>
      </c>
      <c r="M200" s="18" t="s">
        <v>90</v>
      </c>
      <c r="N200"/>
      <c r="P200"/>
      <c r="Q200" s="4"/>
      <c r="R200"/>
      <c r="S200">
        <v>500125</v>
      </c>
      <c r="T200"/>
      <c r="U200" s="125">
        <v>-20</v>
      </c>
      <c r="V200" t="s">
        <v>762</v>
      </c>
      <c r="W200"/>
      <c r="X200"/>
      <c r="Y200"/>
    </row>
    <row r="201" spans="1:25" x14ac:dyDescent="0.3">
      <c r="A201" s="3"/>
      <c r="B201" s="194" t="s">
        <v>487</v>
      </c>
      <c r="C201" s="1" t="s">
        <v>729</v>
      </c>
      <c r="D201" s="133" t="s">
        <v>512</v>
      </c>
      <c r="E201" s="1" t="s">
        <v>731</v>
      </c>
      <c r="F201" s="4"/>
      <c r="G201" s="1"/>
      <c r="H201" s="125">
        <v>8</v>
      </c>
      <c r="I201" s="125"/>
      <c r="J201" s="125"/>
      <c r="K201" s="125">
        <v>8</v>
      </c>
      <c r="L201" s="125">
        <f t="shared" si="2"/>
        <v>20581.239999999994</v>
      </c>
      <c r="M201" s="18" t="s">
        <v>90</v>
      </c>
      <c r="N201"/>
      <c r="P201"/>
      <c r="Q201" s="4"/>
      <c r="R201"/>
      <c r="S201">
        <v>500187</v>
      </c>
      <c r="T201"/>
      <c r="U201" s="125">
        <v>-50</v>
      </c>
      <c r="V201"/>
      <c r="W201" t="s">
        <v>90</v>
      </c>
      <c r="X201"/>
      <c r="Y201"/>
    </row>
    <row r="202" spans="1:25" x14ac:dyDescent="0.3">
      <c r="A202" s="3"/>
      <c r="B202" s="194" t="s">
        <v>487</v>
      </c>
      <c r="C202" s="1" t="s">
        <v>730</v>
      </c>
      <c r="D202" s="133" t="s">
        <v>512</v>
      </c>
      <c r="E202" s="1" t="s">
        <v>733</v>
      </c>
      <c r="F202" s="1"/>
      <c r="G202" s="1"/>
      <c r="H202" s="125">
        <v>180.5</v>
      </c>
      <c r="I202" s="125"/>
      <c r="J202" s="125"/>
      <c r="K202" s="125">
        <v>180.5</v>
      </c>
      <c r="L202" s="125">
        <f t="shared" si="2"/>
        <v>20761.739999999994</v>
      </c>
      <c r="M202" s="18" t="s">
        <v>90</v>
      </c>
      <c r="N202"/>
      <c r="P202"/>
      <c r="Q202" s="4"/>
      <c r="R202"/>
      <c r="S202">
        <v>500184</v>
      </c>
      <c r="T202"/>
      <c r="U202">
        <v>-50</v>
      </c>
      <c r="V202" s="125"/>
      <c r="W202" t="s">
        <v>90</v>
      </c>
      <c r="X202"/>
      <c r="Y202"/>
    </row>
    <row r="203" spans="1:25" x14ac:dyDescent="0.3">
      <c r="A203" s="3"/>
      <c r="B203" s="194" t="s">
        <v>487</v>
      </c>
      <c r="C203" s="1" t="s">
        <v>730</v>
      </c>
      <c r="D203" s="133" t="s">
        <v>500</v>
      </c>
      <c r="E203" s="191" t="s">
        <v>414</v>
      </c>
      <c r="F203" s="4"/>
      <c r="G203" s="1"/>
      <c r="H203" s="192">
        <v>300</v>
      </c>
      <c r="I203" s="125"/>
      <c r="J203" s="125"/>
      <c r="K203" s="125">
        <v>300</v>
      </c>
      <c r="L203" s="125">
        <f t="shared" si="2"/>
        <v>21061.739999999994</v>
      </c>
      <c r="M203" s="18" t="s">
        <v>90</v>
      </c>
      <c r="N203"/>
      <c r="P203"/>
      <c r="Q203" s="4"/>
      <c r="R203"/>
      <c r="S203">
        <v>500129</v>
      </c>
      <c r="T203"/>
      <c r="U203" s="125">
        <v>-77.87</v>
      </c>
      <c r="V203"/>
      <c r="W203" t="s">
        <v>90</v>
      </c>
      <c r="X203"/>
      <c r="Y203"/>
    </row>
    <row r="204" spans="1:25" x14ac:dyDescent="0.3">
      <c r="A204" s="3"/>
      <c r="B204" s="194" t="s">
        <v>487</v>
      </c>
      <c r="C204" s="4" t="s">
        <v>734</v>
      </c>
      <c r="D204" s="133" t="s">
        <v>13</v>
      </c>
      <c r="E204" s="1" t="s">
        <v>315</v>
      </c>
      <c r="F204" s="1"/>
      <c r="G204" s="1" t="s">
        <v>464</v>
      </c>
      <c r="H204" s="125"/>
      <c r="I204" s="125"/>
      <c r="J204" s="125"/>
      <c r="K204" s="125">
        <v>-562.29999999999995</v>
      </c>
      <c r="L204" s="125">
        <f t="shared" si="2"/>
        <v>20499.439999999995</v>
      </c>
      <c r="M204" s="18" t="s">
        <v>90</v>
      </c>
      <c r="N204"/>
      <c r="P204"/>
      <c r="Q204" s="4"/>
      <c r="R204"/>
      <c r="S204"/>
      <c r="T204"/>
      <c r="U204"/>
      <c r="V204" s="125">
        <v>-197.87</v>
      </c>
      <c r="W204"/>
      <c r="X204"/>
      <c r="Y204"/>
    </row>
    <row r="205" spans="1:25" x14ac:dyDescent="0.3">
      <c r="A205" s="3"/>
      <c r="B205" s="194" t="s">
        <v>487</v>
      </c>
      <c r="C205" s="4" t="s">
        <v>465</v>
      </c>
      <c r="D205" s="133" t="s">
        <v>518</v>
      </c>
      <c r="E205" s="1"/>
      <c r="F205" s="4"/>
      <c r="G205" s="1">
        <v>500129</v>
      </c>
      <c r="H205" s="125"/>
      <c r="I205" s="125"/>
      <c r="J205" s="125"/>
      <c r="K205" s="125">
        <v>-77.87</v>
      </c>
      <c r="L205" s="125">
        <f t="shared" si="2"/>
        <v>20421.569999999996</v>
      </c>
      <c r="M205" s="18" t="s">
        <v>90</v>
      </c>
      <c r="N205"/>
      <c r="P205"/>
      <c r="Q205" s="4"/>
      <c r="R205" t="s">
        <v>751</v>
      </c>
      <c r="S205"/>
      <c r="T205"/>
      <c r="U205"/>
      <c r="V205"/>
      <c r="W205"/>
      <c r="X205"/>
      <c r="Y205"/>
    </row>
    <row r="206" spans="1:25" x14ac:dyDescent="0.3">
      <c r="A206" s="3"/>
      <c r="B206" s="194" t="s">
        <v>487</v>
      </c>
      <c r="C206" s="4" t="s">
        <v>141</v>
      </c>
      <c r="D206" s="133" t="s">
        <v>513</v>
      </c>
      <c r="E206" s="1" t="s">
        <v>735</v>
      </c>
      <c r="F206" s="4"/>
      <c r="G206" s="1" t="s">
        <v>399</v>
      </c>
      <c r="H206" s="190">
        <v>542.30999999999995</v>
      </c>
      <c r="I206" s="125"/>
      <c r="J206" s="125"/>
      <c r="K206" s="125">
        <v>542.30999999999995</v>
      </c>
      <c r="L206" s="125">
        <f t="shared" si="2"/>
        <v>20963.879999999997</v>
      </c>
      <c r="M206" s="18" t="s">
        <v>90</v>
      </c>
      <c r="N206"/>
      <c r="P206"/>
      <c r="Q206" s="4"/>
      <c r="R206" t="s">
        <v>752</v>
      </c>
      <c r="S206"/>
      <c r="T206"/>
      <c r="U206"/>
      <c r="V206">
        <v>180.5</v>
      </c>
      <c r="W206" t="s">
        <v>90</v>
      </c>
      <c r="X206"/>
      <c r="Y206"/>
    </row>
    <row r="207" spans="1:25" x14ac:dyDescent="0.3">
      <c r="A207" s="174"/>
      <c r="B207" s="194" t="s">
        <v>487</v>
      </c>
      <c r="C207" s="4" t="s">
        <v>736</v>
      </c>
      <c r="D207" s="133" t="s">
        <v>518</v>
      </c>
      <c r="E207" s="1" t="s">
        <v>738</v>
      </c>
      <c r="F207" s="4"/>
      <c r="G207" s="1" t="s">
        <v>399</v>
      </c>
      <c r="H207" s="125">
        <v>70</v>
      </c>
      <c r="I207" s="125"/>
      <c r="J207" s="125"/>
      <c r="K207" s="125">
        <v>70</v>
      </c>
      <c r="L207" s="125">
        <f t="shared" si="2"/>
        <v>21033.879999999997</v>
      </c>
      <c r="M207" s="18" t="s">
        <v>90</v>
      </c>
      <c r="N207"/>
      <c r="P207"/>
      <c r="Q207" s="4"/>
      <c r="R207"/>
      <c r="S207"/>
      <c r="T207"/>
      <c r="U207"/>
      <c r="V207"/>
      <c r="W207"/>
      <c r="X207"/>
      <c r="Y207"/>
    </row>
    <row r="208" spans="1:25" x14ac:dyDescent="0.3">
      <c r="A208" s="3"/>
      <c r="B208" s="194" t="s">
        <v>487</v>
      </c>
      <c r="C208" s="4" t="s">
        <v>214</v>
      </c>
      <c r="D208" s="133" t="s">
        <v>518</v>
      </c>
      <c r="E208" s="1" t="s">
        <v>737</v>
      </c>
      <c r="F208" s="4"/>
      <c r="G208" s="1" t="s">
        <v>399</v>
      </c>
      <c r="H208" s="125">
        <v>8</v>
      </c>
      <c r="I208" s="125"/>
      <c r="J208" s="125"/>
      <c r="K208" s="125">
        <v>8</v>
      </c>
      <c r="L208" s="125">
        <f t="shared" si="2"/>
        <v>21041.879999999997</v>
      </c>
      <c r="M208" s="18" t="s">
        <v>90</v>
      </c>
      <c r="N208"/>
      <c r="P208"/>
      <c r="Q208" s="4"/>
      <c r="R208"/>
      <c r="S208"/>
      <c r="T208"/>
      <c r="U208"/>
      <c r="V208"/>
      <c r="W208"/>
      <c r="X208"/>
      <c r="Y208"/>
    </row>
    <row r="209" spans="1:25" x14ac:dyDescent="0.3">
      <c r="A209" s="3"/>
      <c r="B209" s="194" t="s">
        <v>487</v>
      </c>
      <c r="C209" s="4" t="s">
        <v>749</v>
      </c>
      <c r="D209" s="133" t="s">
        <v>86</v>
      </c>
      <c r="E209" s="1" t="s">
        <v>750</v>
      </c>
      <c r="F209" s="4"/>
      <c r="G209" s="1"/>
      <c r="H209" s="125">
        <v>15</v>
      </c>
      <c r="I209" s="125"/>
      <c r="J209" s="125"/>
      <c r="K209" s="125">
        <v>15</v>
      </c>
      <c r="L209" s="125">
        <f t="shared" si="2"/>
        <v>21056.879999999997</v>
      </c>
      <c r="M209" s="18" t="s">
        <v>90</v>
      </c>
      <c r="N209"/>
      <c r="P209"/>
      <c r="Q209" s="4"/>
      <c r="R209"/>
      <c r="S209"/>
      <c r="T209"/>
      <c r="U209"/>
      <c r="V209"/>
      <c r="W209"/>
      <c r="X209"/>
      <c r="Y209"/>
    </row>
    <row r="210" spans="1:25" x14ac:dyDescent="0.3">
      <c r="A210" s="3"/>
      <c r="B210" s="194" t="s">
        <v>487</v>
      </c>
      <c r="C210" s="4" t="s">
        <v>740</v>
      </c>
      <c r="D210" s="133" t="s">
        <v>500</v>
      </c>
      <c r="E210" s="191" t="s">
        <v>773</v>
      </c>
      <c r="F210" s="4"/>
      <c r="G210" s="1"/>
      <c r="H210" s="192" t="s">
        <v>924</v>
      </c>
      <c r="I210" s="125"/>
      <c r="J210" s="125"/>
      <c r="K210" s="125"/>
      <c r="L210" s="125">
        <f t="shared" si="2"/>
        <v>21056.879999999997</v>
      </c>
      <c r="M210" s="18" t="s">
        <v>90</v>
      </c>
      <c r="N210"/>
      <c r="P210"/>
      <c r="Q210" s="4"/>
      <c r="R210"/>
      <c r="S210"/>
      <c r="T210"/>
      <c r="U210"/>
      <c r="V210"/>
      <c r="W210"/>
      <c r="X210"/>
      <c r="Y210"/>
    </row>
    <row r="211" spans="1:25" x14ac:dyDescent="0.3">
      <c r="A211" s="3"/>
      <c r="B211" s="194" t="s">
        <v>487</v>
      </c>
      <c r="C211" s="4" t="s">
        <v>740</v>
      </c>
      <c r="D211" s="133" t="s">
        <v>512</v>
      </c>
      <c r="E211" s="1" t="s">
        <v>764</v>
      </c>
      <c r="F211" s="4" t="s">
        <v>399</v>
      </c>
      <c r="G211" s="1"/>
      <c r="H211" s="125">
        <v>400</v>
      </c>
      <c r="I211" s="125"/>
      <c r="J211" s="125"/>
      <c r="K211" s="125">
        <v>400</v>
      </c>
      <c r="L211" s="125">
        <f t="shared" si="2"/>
        <v>21456.879999999997</v>
      </c>
      <c r="M211" s="18" t="s">
        <v>90</v>
      </c>
      <c r="N211"/>
      <c r="P211"/>
      <c r="Q211" s="4"/>
      <c r="R211" t="s">
        <v>652</v>
      </c>
      <c r="S211"/>
      <c r="T211"/>
      <c r="U211"/>
      <c r="V211" s="23">
        <v>21467.58</v>
      </c>
      <c r="W211"/>
      <c r="X211" t="s">
        <v>588</v>
      </c>
      <c r="Y211"/>
    </row>
    <row r="212" spans="1:25" x14ac:dyDescent="0.3">
      <c r="A212" s="174"/>
      <c r="B212" s="194" t="s">
        <v>487</v>
      </c>
      <c r="C212" s="1" t="s">
        <v>739</v>
      </c>
      <c r="D212" s="133" t="s">
        <v>500</v>
      </c>
      <c r="E212" s="191" t="s">
        <v>780</v>
      </c>
      <c r="F212" s="191"/>
      <c r="G212" s="1"/>
      <c r="H212" s="192">
        <v>250</v>
      </c>
      <c r="I212" s="125"/>
      <c r="J212" s="125"/>
      <c r="K212" s="125">
        <v>250</v>
      </c>
      <c r="L212" s="125">
        <f t="shared" si="2"/>
        <v>21706.879999999997</v>
      </c>
      <c r="M212" s="18" t="s">
        <v>90</v>
      </c>
      <c r="N212"/>
      <c r="P212"/>
      <c r="Q212" s="4"/>
      <c r="R212"/>
      <c r="S212"/>
      <c r="T212"/>
      <c r="U212"/>
      <c r="V212"/>
      <c r="W212"/>
      <c r="X212"/>
      <c r="Y212"/>
    </row>
    <row r="213" spans="1:25" x14ac:dyDescent="0.3">
      <c r="A213" s="174"/>
      <c r="B213" s="194" t="s">
        <v>487</v>
      </c>
      <c r="C213" s="4" t="s">
        <v>753</v>
      </c>
      <c r="D213" s="133" t="s">
        <v>518</v>
      </c>
      <c r="E213" s="1" t="s">
        <v>754</v>
      </c>
      <c r="F213"/>
      <c r="G213" s="1"/>
      <c r="H213" s="125"/>
      <c r="I213" s="125"/>
      <c r="J213" s="125"/>
      <c r="K213" s="125">
        <v>-289.3</v>
      </c>
      <c r="L213" s="125">
        <f t="shared" si="2"/>
        <v>21417.579999999998</v>
      </c>
      <c r="M213" s="16" t="s">
        <v>90</v>
      </c>
      <c r="N213"/>
      <c r="P213"/>
      <c r="Q213" s="4"/>
      <c r="R213" s="30" t="s">
        <v>766</v>
      </c>
      <c r="S213" s="30"/>
      <c r="T213" s="30"/>
      <c r="U213"/>
      <c r="V213"/>
      <c r="W213"/>
      <c r="X213"/>
      <c r="Y213"/>
    </row>
    <row r="214" spans="1:25" x14ac:dyDescent="0.3">
      <c r="A214" s="174"/>
      <c r="B214" s="194" t="s">
        <v>487</v>
      </c>
      <c r="C214" s="1" t="s">
        <v>755</v>
      </c>
      <c r="D214" s="133" t="s">
        <v>500</v>
      </c>
      <c r="E214" s="191" t="s">
        <v>461</v>
      </c>
      <c r="F214" s="179"/>
      <c r="G214" s="1"/>
      <c r="H214" s="192">
        <v>50</v>
      </c>
      <c r="I214" s="125"/>
      <c r="J214" s="125"/>
      <c r="K214" s="125">
        <v>50</v>
      </c>
      <c r="L214" s="125">
        <f t="shared" si="2"/>
        <v>21467.579999999998</v>
      </c>
      <c r="M214" s="16" t="s">
        <v>90</v>
      </c>
      <c r="N214"/>
      <c r="P214"/>
      <c r="Q214" s="4"/>
      <c r="R214"/>
      <c r="S214"/>
      <c r="T214"/>
      <c r="U214"/>
      <c r="V214"/>
      <c r="W214"/>
      <c r="X214"/>
      <c r="Y214"/>
    </row>
    <row r="215" spans="1:25" x14ac:dyDescent="0.3">
      <c r="A215" s="174"/>
      <c r="B215" s="187"/>
      <c r="C215"/>
      <c r="D215" s="199"/>
      <c r="E215" s="1"/>
      <c r="F215"/>
      <c r="G215" s="1"/>
      <c r="H215" s="125"/>
      <c r="I215" s="125"/>
      <c r="J215" s="125"/>
      <c r="K215" s="125"/>
      <c r="L215" s="125">
        <f t="shared" si="2"/>
        <v>21467.579999999998</v>
      </c>
      <c r="M215" s="16"/>
      <c r="N215"/>
      <c r="P215"/>
      <c r="Q215" s="4"/>
      <c r="R215" t="s">
        <v>584</v>
      </c>
      <c r="S215"/>
      <c r="T215"/>
      <c r="U215"/>
      <c r="V215">
        <v>20773.990000000002</v>
      </c>
      <c r="W215"/>
      <c r="X215"/>
      <c r="Y215"/>
    </row>
    <row r="216" spans="1:25" x14ac:dyDescent="0.3">
      <c r="A216" s="174"/>
      <c r="B216" s="187"/>
      <c r="C216"/>
      <c r="D216" s="199"/>
      <c r="E216" s="1"/>
      <c r="F216"/>
      <c r="G216" s="1"/>
      <c r="H216" s="125"/>
      <c r="I216" s="125"/>
      <c r="J216" s="125"/>
      <c r="K216" s="125"/>
      <c r="L216" s="125">
        <f t="shared" si="2"/>
        <v>21467.579999999998</v>
      </c>
      <c r="M216" s="16"/>
      <c r="N216"/>
      <c r="P216"/>
      <c r="Q216" s="4"/>
      <c r="R216"/>
      <c r="S216"/>
      <c r="T216"/>
      <c r="U216"/>
      <c r="V216"/>
      <c r="W216"/>
      <c r="X216"/>
      <c r="Y216"/>
    </row>
    <row r="217" spans="1:25" x14ac:dyDescent="0.3">
      <c r="A217" s="28" t="s">
        <v>354</v>
      </c>
      <c r="B217" s="187" t="s">
        <v>488</v>
      </c>
      <c r="C217" s="4" t="s">
        <v>654</v>
      </c>
      <c r="D217" s="133" t="s">
        <v>9</v>
      </c>
      <c r="E217" s="1" t="s">
        <v>748</v>
      </c>
      <c r="F217" s="4"/>
      <c r="G217" s="1"/>
      <c r="H217" s="125"/>
      <c r="I217" s="125"/>
      <c r="J217" s="125">
        <v>-90.91</v>
      </c>
      <c r="K217" s="125">
        <v>-90.91</v>
      </c>
      <c r="L217" s="125">
        <f t="shared" si="2"/>
        <v>21376.67</v>
      </c>
      <c r="M217" s="18" t="s">
        <v>90</v>
      </c>
      <c r="N217"/>
      <c r="P217"/>
      <c r="Q217" s="4"/>
      <c r="R217" t="s">
        <v>650</v>
      </c>
      <c r="S217"/>
      <c r="T217"/>
      <c r="U217" s="125"/>
      <c r="V217"/>
      <c r="W217"/>
      <c r="X217"/>
      <c r="Y217"/>
    </row>
    <row r="218" spans="1:25" x14ac:dyDescent="0.3">
      <c r="A218" s="174"/>
      <c r="B218" s="187" t="s">
        <v>488</v>
      </c>
      <c r="C218" s="4" t="s">
        <v>533</v>
      </c>
      <c r="D218" s="133" t="s">
        <v>12</v>
      </c>
      <c r="E218" s="1"/>
      <c r="F218" s="4"/>
      <c r="G218" s="1"/>
      <c r="H218" s="125"/>
      <c r="I218" s="125"/>
      <c r="J218" s="125">
        <v>-295.61</v>
      </c>
      <c r="K218" s="125">
        <v>-295.61</v>
      </c>
      <c r="L218" s="125">
        <f t="shared" si="2"/>
        <v>21081.059999999998</v>
      </c>
      <c r="M218" s="18" t="s">
        <v>90</v>
      </c>
      <c r="N218"/>
      <c r="P218"/>
      <c r="Q218" s="4"/>
      <c r="R218" t="s">
        <v>596</v>
      </c>
      <c r="S218"/>
      <c r="T218"/>
      <c r="U218" s="125">
        <v>8</v>
      </c>
      <c r="V218"/>
      <c r="W218"/>
      <c r="X218"/>
      <c r="Y218"/>
    </row>
    <row r="219" spans="1:25" x14ac:dyDescent="0.3">
      <c r="A219" s="3"/>
      <c r="B219" s="187" t="s">
        <v>488</v>
      </c>
      <c r="C219" s="4" t="s">
        <v>299</v>
      </c>
      <c r="D219" s="133" t="s">
        <v>301</v>
      </c>
      <c r="E219" s="1"/>
      <c r="F219" s="4"/>
      <c r="G219" s="1"/>
      <c r="H219" s="125"/>
      <c r="I219" s="125"/>
      <c r="J219" s="125">
        <v>-34.68</v>
      </c>
      <c r="K219" s="125">
        <v>-34.68</v>
      </c>
      <c r="L219" s="125">
        <f t="shared" si="2"/>
        <v>21046.379999999997</v>
      </c>
      <c r="M219" s="16" t="s">
        <v>90</v>
      </c>
      <c r="N219"/>
      <c r="P219"/>
      <c r="Q219" s="4"/>
      <c r="R219"/>
      <c r="S219"/>
      <c r="T219"/>
      <c r="U219" s="125"/>
      <c r="V219" s="125">
        <v>8</v>
      </c>
      <c r="W219"/>
      <c r="X219"/>
      <c r="Y219"/>
    </row>
    <row r="220" spans="1:25" x14ac:dyDescent="0.3">
      <c r="A220" s="182"/>
      <c r="B220" s="187" t="s">
        <v>488</v>
      </c>
      <c r="C220" s="4" t="s">
        <v>607</v>
      </c>
      <c r="D220" s="133" t="s">
        <v>11</v>
      </c>
      <c r="E220" s="1"/>
      <c r="F220" s="4"/>
      <c r="G220" s="1"/>
      <c r="H220" s="125"/>
      <c r="I220" s="125"/>
      <c r="J220" s="125">
        <v>-110.2</v>
      </c>
      <c r="K220" s="125">
        <v>-110.2</v>
      </c>
      <c r="L220" s="125">
        <f t="shared" si="2"/>
        <v>20936.179999999997</v>
      </c>
      <c r="M220" s="16" t="s">
        <v>90</v>
      </c>
      <c r="N220"/>
      <c r="P220"/>
      <c r="Q220" s="4"/>
      <c r="R220" t="s">
        <v>586</v>
      </c>
      <c r="S220"/>
      <c r="T220"/>
      <c r="U220" s="125"/>
      <c r="V220" s="125"/>
      <c r="W220"/>
      <c r="X220"/>
      <c r="Y220"/>
    </row>
    <row r="221" spans="1:25" x14ac:dyDescent="0.3">
      <c r="A221" s="174"/>
      <c r="B221" s="187" t="s">
        <v>488</v>
      </c>
      <c r="C221" s="4" t="s">
        <v>48</v>
      </c>
      <c r="D221" s="133" t="s">
        <v>12</v>
      </c>
      <c r="E221" s="1"/>
      <c r="F221" s="4"/>
      <c r="G221" s="1"/>
      <c r="H221" s="125"/>
      <c r="I221" s="125"/>
      <c r="J221" s="125">
        <v>-89.82</v>
      </c>
      <c r="K221" s="125">
        <v>-89.82</v>
      </c>
      <c r="L221" s="125">
        <f t="shared" si="2"/>
        <v>20846.359999999997</v>
      </c>
      <c r="M221" s="16" t="s">
        <v>90</v>
      </c>
      <c r="N221" s="18"/>
      <c r="P221"/>
      <c r="Q221" s="4"/>
      <c r="R221"/>
      <c r="S221">
        <v>500751</v>
      </c>
      <c r="T221"/>
      <c r="U221" s="125">
        <v>-50</v>
      </c>
      <c r="V221" s="125" t="s">
        <v>925</v>
      </c>
      <c r="W221"/>
      <c r="X221"/>
      <c r="Y221"/>
    </row>
    <row r="222" spans="1:25" x14ac:dyDescent="0.3">
      <c r="A222" s="3"/>
      <c r="B222" s="187" t="s">
        <v>488</v>
      </c>
      <c r="C222" s="4" t="s">
        <v>654</v>
      </c>
      <c r="D222" s="133" t="s">
        <v>8</v>
      </c>
      <c r="E222" s="1" t="s">
        <v>744</v>
      </c>
      <c r="F222" s="4"/>
      <c r="G222" s="1"/>
      <c r="H222" s="200"/>
      <c r="I222" s="125"/>
      <c r="J222" s="125">
        <v>-444.37</v>
      </c>
      <c r="K222" s="125">
        <v>-444.37</v>
      </c>
      <c r="L222" s="125">
        <f t="shared" si="2"/>
        <v>20401.989999999998</v>
      </c>
      <c r="M222" s="16" t="s">
        <v>90</v>
      </c>
      <c r="N222"/>
      <c r="P222"/>
      <c r="Q222" s="4"/>
      <c r="R222"/>
      <c r="S222">
        <v>500752</v>
      </c>
      <c r="T222"/>
      <c r="U222" s="125">
        <v>-50</v>
      </c>
      <c r="V222" t="s">
        <v>90</v>
      </c>
      <c r="W222"/>
      <c r="X222"/>
      <c r="Y222"/>
    </row>
    <row r="223" spans="1:25" x14ac:dyDescent="0.3">
      <c r="A223" s="3"/>
      <c r="B223" s="187" t="s">
        <v>488</v>
      </c>
      <c r="C223" s="237" t="s">
        <v>604</v>
      </c>
      <c r="D223" s="133" t="s">
        <v>512</v>
      </c>
      <c r="E223" s="1"/>
      <c r="F223" s="4"/>
      <c r="G223" s="1"/>
      <c r="H223" s="125">
        <v>34</v>
      </c>
      <c r="I223" s="125"/>
      <c r="J223" s="125"/>
      <c r="K223" s="125">
        <v>34</v>
      </c>
      <c r="L223" s="125">
        <f t="shared" ref="L223:L286" si="3">+L222+K223</f>
        <v>20435.989999999998</v>
      </c>
      <c r="M223" s="18" t="s">
        <v>90</v>
      </c>
      <c r="N223"/>
      <c r="P223"/>
      <c r="Q223" s="4"/>
      <c r="R223"/>
      <c r="S223" t="s">
        <v>464</v>
      </c>
      <c r="T223"/>
      <c r="U223" s="125">
        <v>-300</v>
      </c>
      <c r="V223" t="s">
        <v>90</v>
      </c>
      <c r="W223"/>
      <c r="X223"/>
      <c r="Y223"/>
    </row>
    <row r="224" spans="1:25" x14ac:dyDescent="0.3">
      <c r="A224" s="180"/>
      <c r="B224" s="187" t="s">
        <v>488</v>
      </c>
      <c r="C224" s="4" t="s">
        <v>655</v>
      </c>
      <c r="D224" s="133" t="s">
        <v>512</v>
      </c>
      <c r="E224" s="1" t="s">
        <v>742</v>
      </c>
      <c r="F224"/>
      <c r="G224" s="1"/>
      <c r="H224" s="125">
        <v>76</v>
      </c>
      <c r="I224" s="125"/>
      <c r="J224" s="125"/>
      <c r="K224" s="125">
        <v>76</v>
      </c>
      <c r="L224" s="125">
        <f t="shared" si="3"/>
        <v>20511.989999999998</v>
      </c>
      <c r="M224" s="18" t="s">
        <v>90</v>
      </c>
      <c r="N224"/>
      <c r="P224"/>
      <c r="Q224" s="4"/>
      <c r="R224"/>
      <c r="S224"/>
      <c r="T224"/>
      <c r="U224"/>
      <c r="V224" s="125"/>
      <c r="W224"/>
      <c r="X224"/>
      <c r="Y224"/>
    </row>
    <row r="225" spans="1:25" x14ac:dyDescent="0.3">
      <c r="A225" s="180"/>
      <c r="B225" s="187" t="s">
        <v>488</v>
      </c>
      <c r="C225" s="4" t="s">
        <v>743</v>
      </c>
      <c r="D225" s="133" t="s">
        <v>512</v>
      </c>
      <c r="E225" s="1"/>
      <c r="F225" s="4"/>
      <c r="G225" s="1"/>
      <c r="H225" s="125">
        <v>8</v>
      </c>
      <c r="I225" s="125"/>
      <c r="J225" s="125"/>
      <c r="K225" s="125">
        <v>8</v>
      </c>
      <c r="L225" s="125">
        <f t="shared" si="3"/>
        <v>20519.989999999998</v>
      </c>
      <c r="M225" s="18" t="s">
        <v>90</v>
      </c>
      <c r="N225"/>
      <c r="P225"/>
      <c r="Q225" s="4"/>
      <c r="R225"/>
      <c r="S225"/>
      <c r="T225"/>
      <c r="U225" s="125"/>
      <c r="V225"/>
      <c r="W225"/>
      <c r="X225"/>
      <c r="Y225"/>
    </row>
    <row r="226" spans="1:25" x14ac:dyDescent="0.3">
      <c r="A226" s="174"/>
      <c r="B226" s="187" t="s">
        <v>488</v>
      </c>
      <c r="C226" s="4" t="s">
        <v>727</v>
      </c>
      <c r="D226" s="133" t="s">
        <v>504</v>
      </c>
      <c r="E226" s="191" t="s">
        <v>757</v>
      </c>
      <c r="F226" s="4"/>
      <c r="G226" s="1">
        <v>500751</v>
      </c>
      <c r="H226" s="125"/>
      <c r="I226" s="125"/>
      <c r="J226" s="192">
        <v>-50</v>
      </c>
      <c r="K226" s="125">
        <v>-50</v>
      </c>
      <c r="L226" s="125">
        <f t="shared" si="3"/>
        <v>20469.989999999998</v>
      </c>
      <c r="M226" s="18" t="s">
        <v>90</v>
      </c>
      <c r="N226"/>
      <c r="P226"/>
      <c r="Q226" s="4"/>
      <c r="R226"/>
      <c r="S226"/>
      <c r="T226"/>
      <c r="U226"/>
      <c r="V226" s="125">
        <v>-400</v>
      </c>
      <c r="W226"/>
      <c r="X226"/>
      <c r="Y226"/>
    </row>
    <row r="227" spans="1:25" x14ac:dyDescent="0.3">
      <c r="A227" s="3"/>
      <c r="B227" s="187" t="s">
        <v>488</v>
      </c>
      <c r="C227" s="4" t="s">
        <v>697</v>
      </c>
      <c r="D227" s="133" t="s">
        <v>512</v>
      </c>
      <c r="E227" s="1" t="s">
        <v>711</v>
      </c>
      <c r="F227" s="4"/>
      <c r="G227" s="1"/>
      <c r="H227" s="125">
        <v>68</v>
      </c>
      <c r="I227" s="125"/>
      <c r="J227" s="125"/>
      <c r="K227" s="125">
        <v>68</v>
      </c>
      <c r="L227" s="125">
        <f t="shared" si="3"/>
        <v>20537.989999999998</v>
      </c>
      <c r="M227" s="18" t="s">
        <v>90</v>
      </c>
      <c r="N227"/>
      <c r="P227"/>
      <c r="Q227" s="4"/>
      <c r="R227" t="s">
        <v>751</v>
      </c>
      <c r="S227"/>
      <c r="T227"/>
      <c r="U227"/>
      <c r="V227"/>
      <c r="W227"/>
      <c r="X227"/>
      <c r="Y227"/>
    </row>
    <row r="228" spans="1:25" x14ac:dyDescent="0.3">
      <c r="A228" s="3"/>
      <c r="B228" s="187" t="s">
        <v>488</v>
      </c>
      <c r="C228" s="4" t="s">
        <v>759</v>
      </c>
      <c r="D228" s="133" t="s">
        <v>500</v>
      </c>
      <c r="E228" s="191" t="s">
        <v>758</v>
      </c>
      <c r="F228" s="4"/>
      <c r="G228" s="193"/>
      <c r="H228" s="192">
        <v>250</v>
      </c>
      <c r="I228" s="125"/>
      <c r="J228" s="125"/>
      <c r="K228" s="125">
        <v>250</v>
      </c>
      <c r="L228" s="125">
        <f t="shared" si="3"/>
        <v>20787.989999999998</v>
      </c>
      <c r="M228" s="18" t="s">
        <v>90</v>
      </c>
      <c r="N228"/>
      <c r="P228"/>
      <c r="Q228" s="4"/>
      <c r="R228" t="s">
        <v>767</v>
      </c>
      <c r="S228"/>
      <c r="T228"/>
      <c r="U228"/>
      <c r="V228">
        <v>76</v>
      </c>
      <c r="W228" t="s">
        <v>90</v>
      </c>
      <c r="X228"/>
      <c r="Y228"/>
    </row>
    <row r="229" spans="1:25" x14ac:dyDescent="0.3">
      <c r="A229" s="3"/>
      <c r="B229" s="187" t="s">
        <v>488</v>
      </c>
      <c r="C229" s="4" t="s">
        <v>697</v>
      </c>
      <c r="D229" s="133" t="s">
        <v>504</v>
      </c>
      <c r="E229" s="191" t="s">
        <v>761</v>
      </c>
      <c r="F229" s="4"/>
      <c r="G229" s="1">
        <v>500752</v>
      </c>
      <c r="H229" s="125"/>
      <c r="I229" s="125"/>
      <c r="J229" s="192">
        <v>-50</v>
      </c>
      <c r="K229" s="125">
        <v>-50</v>
      </c>
      <c r="L229" s="125">
        <f t="shared" si="3"/>
        <v>20737.989999999998</v>
      </c>
      <c r="M229" s="18" t="s">
        <v>90</v>
      </c>
      <c r="N229"/>
      <c r="P229"/>
      <c r="Q229" s="4"/>
      <c r="R229"/>
      <c r="S229"/>
      <c r="T229"/>
      <c r="U229"/>
      <c r="V229"/>
      <c r="W229"/>
      <c r="X229"/>
      <c r="Y229"/>
    </row>
    <row r="230" spans="1:25" x14ac:dyDescent="0.3">
      <c r="A230" s="3"/>
      <c r="B230" s="187" t="s">
        <v>488</v>
      </c>
      <c r="C230" s="4"/>
      <c r="D230" s="179"/>
      <c r="E230" s="193"/>
      <c r="F230" s="4"/>
      <c r="G230" s="1"/>
      <c r="H230" s="200"/>
      <c r="I230" s="125"/>
      <c r="J230" s="125"/>
      <c r="K230" s="125"/>
      <c r="L230" s="125">
        <f t="shared" si="3"/>
        <v>20737.989999999998</v>
      </c>
      <c r="N230"/>
      <c r="P230"/>
      <c r="Q230" s="4"/>
      <c r="R230"/>
      <c r="S230"/>
      <c r="T230"/>
      <c r="U230"/>
      <c r="V230"/>
      <c r="W230"/>
      <c r="X230"/>
      <c r="Y230"/>
    </row>
    <row r="231" spans="1:25" x14ac:dyDescent="0.3">
      <c r="A231" s="3"/>
      <c r="B231" s="187" t="s">
        <v>488</v>
      </c>
      <c r="C231" s="4" t="s">
        <v>481</v>
      </c>
      <c r="D231" s="133" t="s">
        <v>623</v>
      </c>
      <c r="E231" s="1" t="s">
        <v>763</v>
      </c>
      <c r="F231" s="4"/>
      <c r="G231" s="1">
        <v>500125</v>
      </c>
      <c r="H231" s="125">
        <v>20</v>
      </c>
      <c r="I231" s="125"/>
      <c r="J231" s="125"/>
      <c r="K231" s="125">
        <v>20</v>
      </c>
      <c r="L231" s="125">
        <f t="shared" si="3"/>
        <v>20757.989999999998</v>
      </c>
      <c r="M231" s="18" t="s">
        <v>572</v>
      </c>
      <c r="N231"/>
      <c r="P231"/>
      <c r="Q231" s="4"/>
      <c r="R231"/>
      <c r="S231"/>
      <c r="T231"/>
      <c r="U231"/>
      <c r="V231"/>
      <c r="W231"/>
      <c r="X231"/>
      <c r="Y231"/>
    </row>
    <row r="232" spans="1:25" x14ac:dyDescent="0.3">
      <c r="A232" s="3"/>
      <c r="B232" s="187" t="s">
        <v>488</v>
      </c>
      <c r="C232" s="1" t="s">
        <v>730</v>
      </c>
      <c r="D232" s="133" t="s">
        <v>504</v>
      </c>
      <c r="E232" s="191" t="s">
        <v>765</v>
      </c>
      <c r="F232" s="4"/>
      <c r="G232" s="1" t="s">
        <v>464</v>
      </c>
      <c r="H232" s="125"/>
      <c r="I232" s="125"/>
      <c r="J232" s="192">
        <v>-300</v>
      </c>
      <c r="K232" s="125">
        <v>-300</v>
      </c>
      <c r="L232" s="125">
        <f t="shared" si="3"/>
        <v>20457.989999999998</v>
      </c>
      <c r="M232" s="18" t="s">
        <v>90</v>
      </c>
      <c r="N232"/>
      <c r="P232"/>
      <c r="Q232" s="4"/>
      <c r="R232"/>
      <c r="S232"/>
      <c r="T232"/>
      <c r="U232"/>
      <c r="V232"/>
      <c r="W232"/>
      <c r="X232"/>
      <c r="Y232"/>
    </row>
    <row r="233" spans="1:25" x14ac:dyDescent="0.3">
      <c r="A233" s="3"/>
      <c r="B233" s="187"/>
      <c r="C233" s="4"/>
      <c r="D233" s="4"/>
      <c r="E233" s="1"/>
      <c r="F233" s="4"/>
      <c r="G233" s="1"/>
      <c r="H233" s="125"/>
      <c r="I233" s="125"/>
      <c r="J233" s="125"/>
      <c r="K233" s="125"/>
      <c r="L233" s="125">
        <f t="shared" si="3"/>
        <v>20457.989999999998</v>
      </c>
      <c r="N233"/>
      <c r="P233"/>
      <c r="Q233" s="4"/>
      <c r="R233" t="s">
        <v>652</v>
      </c>
      <c r="S233"/>
      <c r="T233"/>
      <c r="U233"/>
      <c r="V233" s="23">
        <v>20457.990000000002</v>
      </c>
      <c r="W233"/>
      <c r="X233" t="s">
        <v>588</v>
      </c>
      <c r="Y233"/>
    </row>
    <row r="234" spans="1:25" x14ac:dyDescent="0.3">
      <c r="A234" s="3"/>
      <c r="B234" s="187"/>
      <c r="C234" s="4"/>
      <c r="D234" s="4"/>
      <c r="E234" s="1"/>
      <c r="F234" s="4"/>
      <c r="G234" s="1"/>
      <c r="H234" s="125"/>
      <c r="I234" s="125"/>
      <c r="J234" s="125"/>
      <c r="K234" s="125"/>
      <c r="L234" s="125">
        <f t="shared" si="3"/>
        <v>20457.989999999998</v>
      </c>
      <c r="N234"/>
      <c r="P234"/>
      <c r="Q234" s="4"/>
      <c r="R234"/>
      <c r="S234"/>
      <c r="T234"/>
      <c r="U234"/>
      <c r="V234"/>
      <c r="W234"/>
      <c r="X234"/>
      <c r="Y234"/>
    </row>
    <row r="235" spans="1:25" x14ac:dyDescent="0.3">
      <c r="A235" s="5" t="s">
        <v>344</v>
      </c>
      <c r="B235" s="201"/>
      <c r="C235" s="4"/>
      <c r="D235" s="4"/>
      <c r="E235" s="1"/>
      <c r="F235" s="4"/>
      <c r="G235" s="1"/>
      <c r="H235" s="125"/>
      <c r="I235" s="125"/>
      <c r="J235" s="125"/>
      <c r="K235" s="125"/>
      <c r="L235" s="125">
        <f t="shared" si="3"/>
        <v>20457.989999999998</v>
      </c>
      <c r="M235" s="16"/>
      <c r="N235"/>
      <c r="P235"/>
      <c r="Q235" s="4"/>
      <c r="R235"/>
      <c r="S235"/>
      <c r="T235"/>
      <c r="U235"/>
      <c r="V235"/>
      <c r="W235"/>
      <c r="X235"/>
      <c r="Y235"/>
    </row>
    <row r="236" spans="1:25" x14ac:dyDescent="0.3">
      <c r="A236" s="174"/>
      <c r="B236" s="194" t="s">
        <v>489</v>
      </c>
      <c r="C236" s="4" t="s">
        <v>128</v>
      </c>
      <c r="D236" s="133" t="s">
        <v>512</v>
      </c>
      <c r="E236" s="1"/>
      <c r="F236" s="4"/>
      <c r="G236" s="1"/>
      <c r="H236" s="125">
        <v>330</v>
      </c>
      <c r="I236" s="125"/>
      <c r="J236" s="125"/>
      <c r="K236" s="125">
        <v>330</v>
      </c>
      <c r="L236" s="125">
        <f t="shared" si="3"/>
        <v>20787.989999999998</v>
      </c>
      <c r="M236" s="18" t="s">
        <v>606</v>
      </c>
      <c r="N236"/>
      <c r="P236"/>
      <c r="Q236" s="4"/>
      <c r="R236"/>
      <c r="S236"/>
      <c r="T236"/>
      <c r="U236"/>
      <c r="V236"/>
      <c r="W236"/>
      <c r="X236"/>
      <c r="Y236"/>
    </row>
    <row r="237" spans="1:25" x14ac:dyDescent="0.3">
      <c r="A237" s="174"/>
      <c r="B237" s="194" t="s">
        <v>489</v>
      </c>
      <c r="C237" s="4" t="s">
        <v>770</v>
      </c>
      <c r="D237" s="133" t="s">
        <v>500</v>
      </c>
      <c r="E237" s="191" t="s">
        <v>774</v>
      </c>
      <c r="F237" s="179"/>
      <c r="G237" s="1"/>
      <c r="H237" s="192">
        <v>50</v>
      </c>
      <c r="I237" s="125"/>
      <c r="J237" s="125"/>
      <c r="K237" s="125">
        <v>50</v>
      </c>
      <c r="L237" s="125">
        <f t="shared" si="3"/>
        <v>20837.989999999998</v>
      </c>
      <c r="M237" s="18" t="s">
        <v>90</v>
      </c>
      <c r="N237"/>
      <c r="P237"/>
      <c r="Q237" s="4"/>
      <c r="R237"/>
      <c r="S237"/>
      <c r="T237"/>
      <c r="U237"/>
      <c r="V237"/>
      <c r="W237"/>
      <c r="X237"/>
      <c r="Y237"/>
    </row>
    <row r="238" spans="1:25" x14ac:dyDescent="0.3">
      <c r="A238" s="174"/>
      <c r="B238" s="194" t="s">
        <v>489</v>
      </c>
      <c r="C238" s="4" t="s">
        <v>571</v>
      </c>
      <c r="D238" s="133" t="s">
        <v>512</v>
      </c>
      <c r="E238" s="1"/>
      <c r="F238" s="4"/>
      <c r="G238" s="1"/>
      <c r="H238" s="125">
        <v>24</v>
      </c>
      <c r="I238" s="125"/>
      <c r="J238" s="125"/>
      <c r="K238" s="125">
        <v>24</v>
      </c>
      <c r="L238" s="125">
        <f t="shared" si="3"/>
        <v>20861.989999999998</v>
      </c>
      <c r="M238" s="18" t="s">
        <v>606</v>
      </c>
      <c r="N238"/>
      <c r="P238"/>
      <c r="Q238" s="4"/>
      <c r="R238"/>
      <c r="S238"/>
      <c r="T238"/>
      <c r="U238"/>
      <c r="V238"/>
      <c r="W238"/>
      <c r="X238"/>
      <c r="Y238"/>
    </row>
    <row r="239" spans="1:25" x14ac:dyDescent="0.3">
      <c r="A239" s="3"/>
      <c r="B239" s="194" t="s">
        <v>489</v>
      </c>
      <c r="C239" s="4" t="s">
        <v>768</v>
      </c>
      <c r="D239" s="133" t="s">
        <v>512</v>
      </c>
      <c r="E239" s="1"/>
      <c r="F239" s="4"/>
      <c r="G239" s="1"/>
      <c r="H239" s="125">
        <v>3.25</v>
      </c>
      <c r="I239" s="125"/>
      <c r="J239" s="125"/>
      <c r="K239" s="125">
        <v>3.25</v>
      </c>
      <c r="L239" s="125">
        <f t="shared" si="3"/>
        <v>20865.239999999998</v>
      </c>
      <c r="M239" s="18" t="s">
        <v>606</v>
      </c>
      <c r="N239"/>
      <c r="P239"/>
      <c r="Q239" s="4"/>
      <c r="R239"/>
      <c r="S239"/>
      <c r="T239"/>
      <c r="U239"/>
      <c r="V239"/>
      <c r="W239"/>
      <c r="X239"/>
      <c r="Y239"/>
    </row>
    <row r="240" spans="1:25" x14ac:dyDescent="0.3">
      <c r="A240" s="174"/>
      <c r="B240" s="194" t="s">
        <v>489</v>
      </c>
      <c r="C240" s="4" t="s">
        <v>771</v>
      </c>
      <c r="D240" s="133" t="s">
        <v>512</v>
      </c>
      <c r="E240" s="1" t="s">
        <v>772</v>
      </c>
      <c r="F240"/>
      <c r="G240" s="1"/>
      <c r="H240" s="125">
        <v>204</v>
      </c>
      <c r="I240" s="125"/>
      <c r="J240" s="125"/>
      <c r="K240" s="125">
        <v>204</v>
      </c>
      <c r="L240" s="125">
        <f t="shared" si="3"/>
        <v>21069.239999999998</v>
      </c>
      <c r="M240" s="18" t="s">
        <v>606</v>
      </c>
      <c r="N240"/>
      <c r="P240"/>
      <c r="Q240" s="4"/>
      <c r="R240"/>
      <c r="S240"/>
      <c r="T240"/>
      <c r="U240"/>
      <c r="V240"/>
      <c r="W240"/>
      <c r="X240"/>
      <c r="Y240"/>
    </row>
    <row r="241" spans="1:25" x14ac:dyDescent="0.3">
      <c r="A241" s="3"/>
      <c r="B241" s="194" t="s">
        <v>489</v>
      </c>
      <c r="C241" s="4" t="s">
        <v>771</v>
      </c>
      <c r="D241" s="133" t="s">
        <v>500</v>
      </c>
      <c r="E241" s="191" t="s">
        <v>769</v>
      </c>
      <c r="F241" s="4"/>
      <c r="G241" s="1"/>
      <c r="H241" s="192">
        <v>50</v>
      </c>
      <c r="I241" s="125"/>
      <c r="J241" s="125"/>
      <c r="K241" s="125">
        <v>50</v>
      </c>
      <c r="L241" s="125">
        <f t="shared" si="3"/>
        <v>21119.239999999998</v>
      </c>
      <c r="M241" s="18" t="s">
        <v>606</v>
      </c>
      <c r="N241"/>
      <c r="P241"/>
      <c r="Q241" s="4"/>
      <c r="R241"/>
      <c r="S241"/>
      <c r="T241"/>
      <c r="U241"/>
      <c r="V241"/>
      <c r="W241"/>
      <c r="X241"/>
      <c r="Y241"/>
    </row>
    <row r="242" spans="1:25" x14ac:dyDescent="0.3">
      <c r="A242" s="174"/>
      <c r="B242" s="194" t="s">
        <v>489</v>
      </c>
      <c r="C242" s="4" t="s">
        <v>775</v>
      </c>
      <c r="D242" s="133" t="s">
        <v>512</v>
      </c>
      <c r="E242" s="1" t="s">
        <v>776</v>
      </c>
      <c r="F242"/>
      <c r="G242" s="1"/>
      <c r="H242" s="125">
        <v>100</v>
      </c>
      <c r="I242" s="125"/>
      <c r="J242" s="125"/>
      <c r="K242" s="125">
        <v>100</v>
      </c>
      <c r="L242" s="125">
        <f t="shared" si="3"/>
        <v>21219.239999999998</v>
      </c>
      <c r="M242" s="18" t="s">
        <v>90</v>
      </c>
      <c r="N242"/>
      <c r="P242"/>
      <c r="Q242" s="4"/>
      <c r="R242"/>
      <c r="S242"/>
      <c r="T242"/>
      <c r="U242"/>
      <c r="V242"/>
      <c r="W242"/>
      <c r="X242"/>
      <c r="Y242"/>
    </row>
    <row r="243" spans="1:25" x14ac:dyDescent="0.3">
      <c r="A243" s="174"/>
      <c r="B243" s="194" t="s">
        <v>489</v>
      </c>
      <c r="C243" s="4" t="s">
        <v>777</v>
      </c>
      <c r="D243" s="133" t="s">
        <v>504</v>
      </c>
      <c r="E243" s="191" t="s">
        <v>778</v>
      </c>
      <c r="F243"/>
      <c r="G243" s="1">
        <v>500753</v>
      </c>
      <c r="H243" s="125"/>
      <c r="I243" s="125"/>
      <c r="J243" s="192">
        <v>-100</v>
      </c>
      <c r="K243" s="125">
        <v>-100</v>
      </c>
      <c r="L243" s="125">
        <f t="shared" si="3"/>
        <v>21119.239999999998</v>
      </c>
      <c r="M243" s="18" t="s">
        <v>90</v>
      </c>
      <c r="N243"/>
      <c r="P243"/>
      <c r="Q243" s="4"/>
      <c r="R243"/>
      <c r="S243"/>
      <c r="T243"/>
      <c r="U243"/>
      <c r="V243"/>
      <c r="W243"/>
      <c r="X243"/>
      <c r="Y243"/>
    </row>
    <row r="244" spans="1:25" x14ac:dyDescent="0.3">
      <c r="A244" s="3"/>
      <c r="B244" s="194" t="s">
        <v>489</v>
      </c>
      <c r="C244" s="4" t="s">
        <v>654</v>
      </c>
      <c r="D244" s="133" t="s">
        <v>9</v>
      </c>
      <c r="E244" s="1" t="s">
        <v>354</v>
      </c>
      <c r="F244" s="4"/>
      <c r="G244" s="1"/>
      <c r="H244" s="125"/>
      <c r="I244" s="125"/>
      <c r="J244" s="125">
        <v>-92.95</v>
      </c>
      <c r="K244" s="125">
        <v>-92.95</v>
      </c>
      <c r="L244" s="125">
        <f t="shared" si="3"/>
        <v>21026.289999999997</v>
      </c>
      <c r="M244" s="16" t="s">
        <v>324</v>
      </c>
      <c r="N244"/>
      <c r="P244"/>
      <c r="Q244" s="4"/>
      <c r="R244" s="30" t="s">
        <v>798</v>
      </c>
      <c r="S244" s="30"/>
      <c r="T244" s="30"/>
      <c r="U244"/>
      <c r="V244"/>
      <c r="W244"/>
      <c r="X244"/>
      <c r="Y244"/>
    </row>
    <row r="245" spans="1:25" x14ac:dyDescent="0.3">
      <c r="A245" s="180"/>
      <c r="B245" s="194" t="s">
        <v>489</v>
      </c>
      <c r="C245" s="4" t="s">
        <v>533</v>
      </c>
      <c r="D245" s="133" t="s">
        <v>12</v>
      </c>
      <c r="E245" s="1"/>
      <c r="F245" s="4"/>
      <c r="G245" s="1"/>
      <c r="H245" s="125"/>
      <c r="I245" s="125"/>
      <c r="J245" s="125">
        <v>-295.61</v>
      </c>
      <c r="K245" s="125">
        <v>-295.61</v>
      </c>
      <c r="L245" s="125">
        <f t="shared" si="3"/>
        <v>20730.679999999997</v>
      </c>
      <c r="M245" s="16" t="s">
        <v>90</v>
      </c>
      <c r="N245"/>
      <c r="P245"/>
      <c r="Q245" s="4"/>
      <c r="R245"/>
      <c r="S245"/>
      <c r="T245"/>
      <c r="U245"/>
      <c r="V245"/>
      <c r="W245"/>
      <c r="X245"/>
      <c r="Y245"/>
    </row>
    <row r="246" spans="1:25" x14ac:dyDescent="0.3">
      <c r="A246" s="180"/>
      <c r="B246" s="194" t="s">
        <v>489</v>
      </c>
      <c r="C246" s="4" t="s">
        <v>299</v>
      </c>
      <c r="D246" s="133" t="s">
        <v>301</v>
      </c>
      <c r="E246" s="1"/>
      <c r="F246" s="4"/>
      <c r="G246" s="1"/>
      <c r="H246" s="125"/>
      <c r="I246" s="125"/>
      <c r="J246" s="125">
        <v>-34.68</v>
      </c>
      <c r="K246" s="125">
        <v>-34.68</v>
      </c>
      <c r="L246" s="125">
        <f t="shared" si="3"/>
        <v>20695.999999999996</v>
      </c>
      <c r="M246" s="16" t="s">
        <v>90</v>
      </c>
      <c r="N246"/>
      <c r="P246"/>
      <c r="Q246" s="4"/>
      <c r="R246" t="s">
        <v>584</v>
      </c>
      <c r="S246"/>
      <c r="T246"/>
      <c r="U246"/>
      <c r="V246">
        <v>20141.75</v>
      </c>
      <c r="W246"/>
      <c r="X246"/>
      <c r="Y246"/>
    </row>
    <row r="247" spans="1:25" x14ac:dyDescent="0.3">
      <c r="A247" s="180"/>
      <c r="B247" s="194" t="s">
        <v>489</v>
      </c>
      <c r="C247" s="4" t="s">
        <v>607</v>
      </c>
      <c r="D247" s="133" t="s">
        <v>11</v>
      </c>
      <c r="E247" s="1"/>
      <c r="F247" s="4"/>
      <c r="G247" s="1"/>
      <c r="H247" s="125"/>
      <c r="I247" s="125"/>
      <c r="J247" s="125">
        <v>-110.2</v>
      </c>
      <c r="K247" s="125">
        <v>-110.2</v>
      </c>
      <c r="L247" s="125">
        <f t="shared" si="3"/>
        <v>20585.799999999996</v>
      </c>
      <c r="M247" s="16" t="s">
        <v>90</v>
      </c>
      <c r="N247"/>
      <c r="P247"/>
      <c r="Q247" s="4"/>
      <c r="R247"/>
      <c r="S247"/>
      <c r="T247"/>
      <c r="U247"/>
      <c r="V247"/>
      <c r="W247"/>
      <c r="X247"/>
      <c r="Y247"/>
    </row>
    <row r="248" spans="1:25" x14ac:dyDescent="0.3">
      <c r="A248" s="174"/>
      <c r="B248" s="194" t="s">
        <v>489</v>
      </c>
      <c r="C248" s="4" t="s">
        <v>48</v>
      </c>
      <c r="D248" s="133" t="s">
        <v>12</v>
      </c>
      <c r="E248" s="1"/>
      <c r="F248" s="4"/>
      <c r="G248" s="1"/>
      <c r="H248" s="125"/>
      <c r="I248" s="125"/>
      <c r="J248" s="125">
        <v>-89.82</v>
      </c>
      <c r="K248" s="125">
        <v>-89.82</v>
      </c>
      <c r="L248" s="125">
        <f t="shared" si="3"/>
        <v>20495.979999999996</v>
      </c>
      <c r="M248" s="16" t="s">
        <v>90</v>
      </c>
      <c r="N248"/>
      <c r="P248"/>
      <c r="Q248" s="4"/>
      <c r="R248" t="s">
        <v>650</v>
      </c>
      <c r="S248"/>
      <c r="T248"/>
      <c r="U248" s="125"/>
      <c r="V248"/>
      <c r="W248"/>
      <c r="X248"/>
      <c r="Y248"/>
    </row>
    <row r="249" spans="1:25" x14ac:dyDescent="0.3">
      <c r="A249" s="174"/>
      <c r="B249" s="194" t="s">
        <v>489</v>
      </c>
      <c r="C249" s="4" t="s">
        <v>654</v>
      </c>
      <c r="D249" s="133" t="s">
        <v>9</v>
      </c>
      <c r="E249" s="1" t="s">
        <v>781</v>
      </c>
      <c r="F249" s="4"/>
      <c r="G249" s="1"/>
      <c r="H249" s="125">
        <v>100</v>
      </c>
      <c r="I249" s="125"/>
      <c r="J249" s="125"/>
      <c r="K249" s="125">
        <v>100</v>
      </c>
      <c r="L249" s="125">
        <f t="shared" si="3"/>
        <v>20595.979999999996</v>
      </c>
      <c r="M249" s="16" t="s">
        <v>803</v>
      </c>
      <c r="N249"/>
      <c r="P249"/>
      <c r="Q249" s="4"/>
      <c r="R249" t="s">
        <v>596</v>
      </c>
      <c r="S249"/>
      <c r="T249"/>
      <c r="U249" s="125">
        <v>8</v>
      </c>
      <c r="V249"/>
      <c r="W249"/>
      <c r="X249"/>
      <c r="Y249"/>
    </row>
    <row r="250" spans="1:25" x14ac:dyDescent="0.3">
      <c r="A250" s="180"/>
      <c r="B250" s="194" t="s">
        <v>489</v>
      </c>
      <c r="C250" s="137" t="s">
        <v>782</v>
      </c>
      <c r="D250" s="133" t="s">
        <v>518</v>
      </c>
      <c r="E250" s="1" t="s">
        <v>783</v>
      </c>
      <c r="F250" s="4"/>
      <c r="G250" s="1" t="s">
        <v>464</v>
      </c>
      <c r="H250" s="125"/>
      <c r="I250" s="125"/>
      <c r="J250" s="125">
        <v>-135.12</v>
      </c>
      <c r="K250" s="125">
        <v>-135.12</v>
      </c>
      <c r="L250" s="125">
        <f t="shared" si="3"/>
        <v>20460.859999999997</v>
      </c>
      <c r="M250" s="16" t="s">
        <v>90</v>
      </c>
      <c r="N250"/>
      <c r="P250"/>
      <c r="Q250" s="4"/>
      <c r="R250"/>
      <c r="S250"/>
      <c r="T250"/>
      <c r="U250" s="125"/>
      <c r="V250" s="125">
        <v>8</v>
      </c>
      <c r="W250"/>
      <c r="X250"/>
      <c r="Y250"/>
    </row>
    <row r="251" spans="1:25" x14ac:dyDescent="0.3">
      <c r="A251" s="180"/>
      <c r="B251" s="194" t="s">
        <v>489</v>
      </c>
      <c r="C251" s="4" t="s">
        <v>234</v>
      </c>
      <c r="D251" s="133" t="s">
        <v>12</v>
      </c>
      <c r="E251" s="1"/>
      <c r="F251" s="4"/>
      <c r="G251" s="1" t="s">
        <v>786</v>
      </c>
      <c r="H251" s="125"/>
      <c r="I251" s="125"/>
      <c r="J251" s="125">
        <v>-84.15</v>
      </c>
      <c r="K251" s="125">
        <v>-84.15</v>
      </c>
      <c r="L251" s="125">
        <f t="shared" si="3"/>
        <v>20376.709999999995</v>
      </c>
      <c r="M251" s="16" t="s">
        <v>412</v>
      </c>
      <c r="N251" t="s">
        <v>784</v>
      </c>
      <c r="O251"/>
      <c r="P251"/>
      <c r="Q251" s="4"/>
      <c r="R251" t="s">
        <v>586</v>
      </c>
      <c r="S251"/>
      <c r="T251"/>
      <c r="U251" s="125"/>
      <c r="V251" s="125"/>
      <c r="W251"/>
      <c r="X251"/>
      <c r="Y251"/>
    </row>
    <row r="252" spans="1:25" x14ac:dyDescent="0.3">
      <c r="A252" s="180"/>
      <c r="B252" s="194" t="s">
        <v>489</v>
      </c>
      <c r="C252" s="4" t="s">
        <v>234</v>
      </c>
      <c r="D252" s="133" t="s">
        <v>623</v>
      </c>
      <c r="E252" s="1"/>
      <c r="F252"/>
      <c r="G252" s="1" t="s">
        <v>786</v>
      </c>
      <c r="H252" s="125"/>
      <c r="I252" s="125"/>
      <c r="J252" s="125">
        <v>-57.85</v>
      </c>
      <c r="K252" s="125">
        <v>-57.85</v>
      </c>
      <c r="L252" s="125">
        <f t="shared" si="3"/>
        <v>20318.859999999997</v>
      </c>
      <c r="M252" s="16" t="s">
        <v>412</v>
      </c>
      <c r="N252"/>
      <c r="P252"/>
      <c r="Q252" s="4"/>
      <c r="R252" t="s">
        <v>58</v>
      </c>
      <c r="S252"/>
      <c r="T252"/>
      <c r="U252" s="125">
        <v>-92.95</v>
      </c>
      <c r="V252" s="125"/>
      <c r="W252"/>
      <c r="X252"/>
      <c r="Y252"/>
    </row>
    <row r="253" spans="1:25" x14ac:dyDescent="0.3">
      <c r="A253" s="3"/>
      <c r="B253" s="194" t="s">
        <v>489</v>
      </c>
      <c r="C253" s="4" t="s">
        <v>655</v>
      </c>
      <c r="D253" s="133" t="s">
        <v>504</v>
      </c>
      <c r="E253" s="191" t="s">
        <v>785</v>
      </c>
      <c r="F253" s="4"/>
      <c r="G253" s="1">
        <v>500754</v>
      </c>
      <c r="H253" s="125"/>
      <c r="I253" s="125"/>
      <c r="J253" s="192">
        <v>-50</v>
      </c>
      <c r="K253" s="125">
        <v>-50</v>
      </c>
      <c r="L253" s="125">
        <f t="shared" si="3"/>
        <v>20268.859999999997</v>
      </c>
      <c r="M253" s="16" t="s">
        <v>90</v>
      </c>
      <c r="N253"/>
      <c r="P253"/>
      <c r="Q253" s="4"/>
      <c r="R253" t="s">
        <v>58</v>
      </c>
      <c r="S253"/>
      <c r="T253"/>
      <c r="U253" s="125">
        <v>100</v>
      </c>
      <c r="V253"/>
      <c r="W253"/>
      <c r="X253"/>
      <c r="Y253"/>
    </row>
    <row r="254" spans="1:25" x14ac:dyDescent="0.3">
      <c r="A254" s="3"/>
      <c r="B254" s="194" t="s">
        <v>489</v>
      </c>
      <c r="C254" s="4" t="s">
        <v>675</v>
      </c>
      <c r="D254" s="133" t="s">
        <v>512</v>
      </c>
      <c r="E254" s="1"/>
      <c r="F254" s="4"/>
      <c r="G254" s="1"/>
      <c r="H254" s="125">
        <v>12</v>
      </c>
      <c r="I254" s="125"/>
      <c r="J254" s="125"/>
      <c r="K254" s="125">
        <v>12</v>
      </c>
      <c r="L254" s="125">
        <f t="shared" si="3"/>
        <v>20280.859999999997</v>
      </c>
      <c r="M254" s="16" t="s">
        <v>534</v>
      </c>
      <c r="N254"/>
      <c r="P254"/>
      <c r="Q254" s="4"/>
      <c r="R254">
        <v>500753</v>
      </c>
      <c r="S254"/>
      <c r="T254"/>
      <c r="U254" s="125">
        <v>-100</v>
      </c>
      <c r="V254"/>
      <c r="W254"/>
      <c r="X254"/>
      <c r="Y254"/>
    </row>
    <row r="255" spans="1:25" x14ac:dyDescent="0.3">
      <c r="A255" s="3"/>
      <c r="B255" s="194" t="s">
        <v>489</v>
      </c>
      <c r="C255" s="4" t="s">
        <v>128</v>
      </c>
      <c r="D255" s="133" t="s">
        <v>512</v>
      </c>
      <c r="E255" s="1"/>
      <c r="F255" s="4"/>
      <c r="G255" s="1"/>
      <c r="H255" s="125">
        <v>8</v>
      </c>
      <c r="I255" s="125"/>
      <c r="J255" s="125"/>
      <c r="K255" s="125">
        <v>8</v>
      </c>
      <c r="L255" s="125">
        <f t="shared" si="3"/>
        <v>20288.859999999997</v>
      </c>
      <c r="M255" s="16" t="s">
        <v>534</v>
      </c>
      <c r="N255"/>
      <c r="P255"/>
      <c r="Q255" s="4"/>
      <c r="R255"/>
      <c r="S255"/>
      <c r="T255"/>
      <c r="U255"/>
      <c r="V255" s="125"/>
      <c r="W255"/>
      <c r="X255"/>
      <c r="Y255"/>
    </row>
    <row r="256" spans="1:25" x14ac:dyDescent="0.3">
      <c r="A256" s="3"/>
      <c r="B256" s="194" t="s">
        <v>489</v>
      </c>
      <c r="C256" s="4" t="s">
        <v>787</v>
      </c>
      <c r="D256" s="133" t="s">
        <v>518</v>
      </c>
      <c r="E256" s="1" t="s">
        <v>788</v>
      </c>
      <c r="F256" s="4"/>
      <c r="G256" s="1" t="s">
        <v>464</v>
      </c>
      <c r="H256" s="125"/>
      <c r="I256" s="125"/>
      <c r="J256" s="125">
        <v>-150</v>
      </c>
      <c r="K256" s="125">
        <v>-150</v>
      </c>
      <c r="L256" s="125">
        <f t="shared" si="3"/>
        <v>20138.859999999997</v>
      </c>
      <c r="M256" s="16" t="s">
        <v>90</v>
      </c>
      <c r="N256"/>
      <c r="P256"/>
      <c r="Q256" s="4"/>
      <c r="R256"/>
      <c r="S256"/>
      <c r="T256"/>
      <c r="U256" s="125"/>
      <c r="V256"/>
      <c r="W256"/>
      <c r="X256"/>
      <c r="Y256"/>
    </row>
    <row r="257" spans="1:25" x14ac:dyDescent="0.3">
      <c r="A257" s="3"/>
      <c r="B257" s="194" t="s">
        <v>489</v>
      </c>
      <c r="C257" s="4" t="s">
        <v>789</v>
      </c>
      <c r="D257" s="133" t="s">
        <v>504</v>
      </c>
      <c r="E257" s="191" t="s">
        <v>790</v>
      </c>
      <c r="F257" s="4"/>
      <c r="G257" s="1" t="s">
        <v>464</v>
      </c>
      <c r="H257" s="125"/>
      <c r="I257" s="125"/>
      <c r="J257" s="192">
        <v>-250</v>
      </c>
      <c r="K257" s="125">
        <v>-250</v>
      </c>
      <c r="L257" s="125">
        <f t="shared" si="3"/>
        <v>19888.859999999997</v>
      </c>
      <c r="M257" s="16" t="s">
        <v>90</v>
      </c>
      <c r="N257"/>
      <c r="P257"/>
      <c r="Q257" s="4"/>
      <c r="R257"/>
      <c r="S257"/>
      <c r="T257"/>
      <c r="U257"/>
      <c r="V257" s="125">
        <v>-92.95</v>
      </c>
      <c r="W257"/>
      <c r="X257"/>
      <c r="Y257"/>
    </row>
    <row r="258" spans="1:25" x14ac:dyDescent="0.3">
      <c r="A258" s="3"/>
      <c r="B258" s="194" t="s">
        <v>489</v>
      </c>
      <c r="C258" s="4" t="s">
        <v>792</v>
      </c>
      <c r="D258" s="133" t="s">
        <v>512</v>
      </c>
      <c r="E258" s="1" t="s">
        <v>793</v>
      </c>
      <c r="F258" s="4"/>
      <c r="G258" s="1"/>
      <c r="H258" s="125">
        <v>84.75</v>
      </c>
      <c r="I258" s="125"/>
      <c r="J258" s="125"/>
      <c r="K258" s="125">
        <v>84.75</v>
      </c>
      <c r="L258" s="125">
        <f t="shared" si="3"/>
        <v>19973.609999999997</v>
      </c>
      <c r="M258" s="16" t="s">
        <v>534</v>
      </c>
      <c r="N258"/>
      <c r="P258"/>
      <c r="Q258" s="4"/>
      <c r="R258" t="s">
        <v>801</v>
      </c>
      <c r="S258"/>
      <c r="T258"/>
      <c r="U258"/>
      <c r="V258"/>
      <c r="W258"/>
      <c r="X258"/>
      <c r="Y258"/>
    </row>
    <row r="259" spans="1:25" x14ac:dyDescent="0.3">
      <c r="A259" s="3"/>
      <c r="B259" s="194" t="s">
        <v>489</v>
      </c>
      <c r="C259" s="4" t="s">
        <v>794</v>
      </c>
      <c r="D259" s="133" t="s">
        <v>512</v>
      </c>
      <c r="E259" s="1" t="s">
        <v>795</v>
      </c>
      <c r="F259" s="4"/>
      <c r="G259" s="1"/>
      <c r="H259" s="125">
        <v>68</v>
      </c>
      <c r="I259" s="125"/>
      <c r="J259" s="125"/>
      <c r="K259" s="125">
        <v>68</v>
      </c>
      <c r="L259" s="125">
        <f t="shared" si="3"/>
        <v>20041.609999999997</v>
      </c>
      <c r="M259" s="16" t="s">
        <v>412</v>
      </c>
      <c r="N259"/>
      <c r="P259"/>
      <c r="Q259" s="4"/>
      <c r="R259" t="s">
        <v>802</v>
      </c>
      <c r="S259"/>
      <c r="T259"/>
      <c r="U259"/>
      <c r="V259">
        <v>-15</v>
      </c>
      <c r="W259" t="s">
        <v>90</v>
      </c>
      <c r="X259"/>
      <c r="Y259"/>
    </row>
    <row r="260" spans="1:25" x14ac:dyDescent="0.3">
      <c r="A260" s="174"/>
      <c r="B260" s="194" t="s">
        <v>489</v>
      </c>
      <c r="C260" s="4" t="s">
        <v>794</v>
      </c>
      <c r="D260" s="133" t="s">
        <v>500</v>
      </c>
      <c r="E260" s="191" t="s">
        <v>791</v>
      </c>
      <c r="F260" s="4"/>
      <c r="G260" s="1"/>
      <c r="H260" s="192">
        <v>50</v>
      </c>
      <c r="I260" s="125"/>
      <c r="J260" s="125"/>
      <c r="K260" s="125">
        <v>50</v>
      </c>
      <c r="L260" s="125">
        <f t="shared" si="3"/>
        <v>20091.609999999997</v>
      </c>
      <c r="M260" s="16" t="s">
        <v>412</v>
      </c>
      <c r="N260"/>
      <c r="P260"/>
      <c r="Q260" s="4"/>
      <c r="R260"/>
      <c r="S260"/>
      <c r="T260"/>
      <c r="U260"/>
      <c r="V260"/>
      <c r="W260"/>
      <c r="X260"/>
      <c r="Y260"/>
    </row>
    <row r="261" spans="1:25" x14ac:dyDescent="0.3">
      <c r="A261" s="3"/>
      <c r="B261" s="194" t="s">
        <v>489</v>
      </c>
      <c r="C261" s="4" t="s">
        <v>796</v>
      </c>
      <c r="D261" s="202" t="s">
        <v>468</v>
      </c>
      <c r="E261" s="1" t="s">
        <v>797</v>
      </c>
      <c r="F261" s="4"/>
      <c r="G261" s="1"/>
      <c r="H261" s="125"/>
      <c r="I261" s="125"/>
      <c r="J261" s="125">
        <v>-49.81</v>
      </c>
      <c r="K261" s="125">
        <v>-49.81</v>
      </c>
      <c r="L261" s="125">
        <f t="shared" si="3"/>
        <v>20041.799999999996</v>
      </c>
      <c r="M261" s="16" t="s">
        <v>90</v>
      </c>
      <c r="N261"/>
      <c r="P261"/>
      <c r="Q261" s="4"/>
      <c r="R261" t="s">
        <v>652</v>
      </c>
      <c r="S261"/>
      <c r="T261"/>
      <c r="U261"/>
      <c r="V261" s="23">
        <v>20041.8</v>
      </c>
      <c r="W261"/>
      <c r="X261" t="s">
        <v>588</v>
      </c>
      <c r="Y261"/>
    </row>
    <row r="262" spans="1:25" x14ac:dyDescent="0.3">
      <c r="A262" s="28" t="s">
        <v>81</v>
      </c>
      <c r="B262" s="187"/>
      <c r="C262"/>
      <c r="D262"/>
      <c r="E262" s="1"/>
      <c r="F262"/>
      <c r="G262" s="1"/>
      <c r="H262" s="125"/>
      <c r="I262" s="125"/>
      <c r="J262" s="125"/>
      <c r="K262" s="125"/>
      <c r="L262" s="125">
        <f t="shared" si="3"/>
        <v>20041.799999999996</v>
      </c>
      <c r="N262"/>
      <c r="P262"/>
      <c r="Q262" s="4"/>
      <c r="R262"/>
      <c r="S262"/>
      <c r="T262"/>
      <c r="U262"/>
      <c r="V262"/>
      <c r="W262"/>
      <c r="X262"/>
      <c r="Y262"/>
    </row>
    <row r="263" spans="1:25" x14ac:dyDescent="0.3">
      <c r="A263" s="203"/>
      <c r="B263" s="204" t="s">
        <v>490</v>
      </c>
      <c r="C263" s="4" t="s">
        <v>796</v>
      </c>
      <c r="D263" s="202" t="s">
        <v>468</v>
      </c>
      <c r="E263" s="1" t="s">
        <v>797</v>
      </c>
      <c r="F263" s="4"/>
      <c r="G263" s="1"/>
      <c r="H263" s="125"/>
      <c r="I263" s="125"/>
      <c r="J263" s="125">
        <v>-5</v>
      </c>
      <c r="K263" s="125">
        <v>-5</v>
      </c>
      <c r="L263" s="125">
        <f t="shared" si="3"/>
        <v>20036.799999999996</v>
      </c>
      <c r="M263" s="18" t="s">
        <v>90</v>
      </c>
      <c r="N263"/>
      <c r="P263"/>
      <c r="Q263" s="4"/>
      <c r="R263"/>
      <c r="S263"/>
      <c r="T263"/>
      <c r="U263"/>
      <c r="V263"/>
      <c r="W263"/>
      <c r="X263"/>
      <c r="Y263"/>
    </row>
    <row r="264" spans="1:25" x14ac:dyDescent="0.3">
      <c r="A264" s="3"/>
      <c r="B264" s="204" t="s">
        <v>490</v>
      </c>
      <c r="C264" s="4" t="s">
        <v>770</v>
      </c>
      <c r="D264" s="133" t="s">
        <v>504</v>
      </c>
      <c r="E264" s="191" t="s">
        <v>799</v>
      </c>
      <c r="F264" s="4"/>
      <c r="G264" s="1"/>
      <c r="H264" s="125"/>
      <c r="I264" s="125"/>
      <c r="J264" s="192">
        <v>-50</v>
      </c>
      <c r="K264" s="125">
        <v>-50</v>
      </c>
      <c r="L264" s="125">
        <f t="shared" si="3"/>
        <v>19986.799999999996</v>
      </c>
      <c r="M264" s="16" t="s">
        <v>90</v>
      </c>
      <c r="N264"/>
      <c r="P264"/>
      <c r="Q264" s="4"/>
      <c r="R264"/>
      <c r="S264"/>
      <c r="T264"/>
      <c r="U264"/>
      <c r="V264"/>
      <c r="W264"/>
      <c r="X264"/>
      <c r="Y264"/>
    </row>
    <row r="265" spans="1:25" x14ac:dyDescent="0.3">
      <c r="A265" s="174"/>
      <c r="B265" s="204" t="s">
        <v>490</v>
      </c>
      <c r="C265" s="4" t="s">
        <v>800</v>
      </c>
      <c r="D265" s="133" t="s">
        <v>86</v>
      </c>
      <c r="E265" s="1" t="s">
        <v>750</v>
      </c>
      <c r="F265" s="4"/>
      <c r="G265" s="1"/>
      <c r="H265" s="125">
        <v>15</v>
      </c>
      <c r="I265" s="125"/>
      <c r="J265" s="125"/>
      <c r="K265" s="125">
        <v>15</v>
      </c>
      <c r="L265" s="125">
        <f t="shared" si="3"/>
        <v>20001.799999999996</v>
      </c>
      <c r="M265" s="16" t="s">
        <v>90</v>
      </c>
      <c r="N265"/>
      <c r="P265"/>
      <c r="Q265" s="4"/>
      <c r="R265"/>
      <c r="S265"/>
      <c r="T265"/>
      <c r="U265"/>
      <c r="V265"/>
      <c r="W265"/>
      <c r="X265"/>
      <c r="Y265"/>
    </row>
    <row r="266" spans="1:25" x14ac:dyDescent="0.3">
      <c r="A266" s="182"/>
      <c r="B266" s="204" t="s">
        <v>490</v>
      </c>
      <c r="C266" s="4" t="s">
        <v>794</v>
      </c>
      <c r="D266" s="133" t="s">
        <v>504</v>
      </c>
      <c r="E266" s="191" t="s">
        <v>813</v>
      </c>
      <c r="F266"/>
      <c r="G266" s="1">
        <v>500190</v>
      </c>
      <c r="H266" s="125"/>
      <c r="I266" s="125"/>
      <c r="J266" s="192">
        <v>-50</v>
      </c>
      <c r="K266" s="125">
        <v>-50</v>
      </c>
      <c r="L266" s="125">
        <f t="shared" si="3"/>
        <v>19951.799999999996</v>
      </c>
      <c r="M266" s="16" t="s">
        <v>90</v>
      </c>
      <c r="N266"/>
      <c r="P266"/>
      <c r="Q266" s="4"/>
      <c r="R266"/>
      <c r="S266"/>
      <c r="T266"/>
      <c r="U266"/>
      <c r="V266"/>
      <c r="W266"/>
      <c r="X266"/>
      <c r="Y266"/>
    </row>
    <row r="267" spans="1:25" x14ac:dyDescent="0.3">
      <c r="A267" s="182"/>
      <c r="B267" s="204" t="s">
        <v>490</v>
      </c>
      <c r="C267" s="4" t="s">
        <v>805</v>
      </c>
      <c r="D267" s="133" t="s">
        <v>623</v>
      </c>
      <c r="E267" s="1" t="s">
        <v>807</v>
      </c>
      <c r="F267" s="1"/>
      <c r="G267" s="1">
        <v>500132</v>
      </c>
      <c r="H267" s="125"/>
      <c r="I267" s="125"/>
      <c r="J267" s="125">
        <v>-148.6</v>
      </c>
      <c r="K267" s="125">
        <v>-148.6</v>
      </c>
      <c r="L267" s="125">
        <f t="shared" si="3"/>
        <v>19803.199999999997</v>
      </c>
      <c r="M267" s="18" t="s">
        <v>90</v>
      </c>
      <c r="N267"/>
      <c r="P267"/>
      <c r="Q267" s="4"/>
      <c r="R267"/>
      <c r="S267" s="125"/>
      <c r="T267"/>
      <c r="U267"/>
      <c r="V267"/>
      <c r="W267"/>
      <c r="X267"/>
      <c r="Y267"/>
    </row>
    <row r="268" spans="1:25" x14ac:dyDescent="0.3">
      <c r="A268" s="175"/>
      <c r="B268" s="204" t="s">
        <v>490</v>
      </c>
      <c r="C268" s="4" t="s">
        <v>806</v>
      </c>
      <c r="D268" s="133" t="s">
        <v>623</v>
      </c>
      <c r="E268" s="1" t="s">
        <v>808</v>
      </c>
      <c r="F268" s="205"/>
      <c r="G268" s="1">
        <v>500131</v>
      </c>
      <c r="H268" s="125"/>
      <c r="I268" s="125"/>
      <c r="J268" s="125">
        <v>-25</v>
      </c>
      <c r="K268" s="125">
        <v>-25</v>
      </c>
      <c r="L268" s="125">
        <f t="shared" si="3"/>
        <v>19778.199999999997</v>
      </c>
      <c r="M268" s="18" t="s">
        <v>572</v>
      </c>
      <c r="N268"/>
      <c r="P268"/>
      <c r="Q268" s="4"/>
      <c r="R268"/>
      <c r="S268" s="125"/>
      <c r="T268"/>
      <c r="U268"/>
      <c r="V268"/>
      <c r="W268"/>
      <c r="X268"/>
      <c r="Y268"/>
    </row>
    <row r="269" spans="1:25" x14ac:dyDescent="0.3">
      <c r="A269" s="180"/>
      <c r="B269" s="204" t="s">
        <v>490</v>
      </c>
      <c r="C269" s="4" t="s">
        <v>451</v>
      </c>
      <c r="D269" s="133" t="s">
        <v>513</v>
      </c>
      <c r="E269" s="1" t="s">
        <v>809</v>
      </c>
      <c r="F269"/>
      <c r="G269" s="1"/>
      <c r="H269" s="190">
        <v>171.5</v>
      </c>
      <c r="I269" s="125"/>
      <c r="J269" s="125"/>
      <c r="K269" s="125">
        <v>171.5</v>
      </c>
      <c r="L269" s="125">
        <f t="shared" si="3"/>
        <v>19949.699999999997</v>
      </c>
      <c r="M269" s="16" t="s">
        <v>90</v>
      </c>
      <c r="N269"/>
      <c r="P269"/>
      <c r="Q269" s="4"/>
      <c r="R269"/>
      <c r="S269" s="125"/>
      <c r="T269"/>
      <c r="U269"/>
      <c r="V269"/>
      <c r="W269"/>
      <c r="X269"/>
      <c r="Y269"/>
    </row>
    <row r="270" spans="1:25" x14ac:dyDescent="0.3">
      <c r="A270" s="206"/>
      <c r="B270" s="204" t="s">
        <v>490</v>
      </c>
      <c r="C270" s="4" t="s">
        <v>810</v>
      </c>
      <c r="D270" s="133" t="s">
        <v>518</v>
      </c>
      <c r="E270" s="1" t="s">
        <v>811</v>
      </c>
      <c r="F270" s="4"/>
      <c r="G270" s="1">
        <v>500130</v>
      </c>
      <c r="H270" s="125"/>
      <c r="I270" s="125"/>
      <c r="J270" s="125">
        <v>-90</v>
      </c>
      <c r="K270" s="125">
        <v>-90</v>
      </c>
      <c r="L270" s="125">
        <f t="shared" si="3"/>
        <v>19859.699999999997</v>
      </c>
      <c r="M270" s="18" t="s">
        <v>90</v>
      </c>
      <c r="N270"/>
      <c r="P270"/>
      <c r="Q270" s="4"/>
      <c r="R270"/>
      <c r="S270" s="125"/>
      <c r="T270"/>
      <c r="U270"/>
      <c r="V270"/>
      <c r="W270"/>
      <c r="X270"/>
      <c r="Y270"/>
    </row>
    <row r="271" spans="1:25" x14ac:dyDescent="0.3">
      <c r="A271" s="180"/>
      <c r="B271" s="204" t="s">
        <v>490</v>
      </c>
      <c r="C271" s="4" t="s">
        <v>812</v>
      </c>
      <c r="D271" s="133" t="s">
        <v>504</v>
      </c>
      <c r="E271" s="191" t="s">
        <v>804</v>
      </c>
      <c r="F271" s="4"/>
      <c r="G271" s="1">
        <v>500188</v>
      </c>
      <c r="H271" s="125"/>
      <c r="I271" s="125"/>
      <c r="J271" s="192">
        <v>-50</v>
      </c>
      <c r="K271" s="125">
        <v>-50</v>
      </c>
      <c r="L271" s="125">
        <f t="shared" si="3"/>
        <v>19809.699999999997</v>
      </c>
      <c r="M271" s="18" t="s">
        <v>90</v>
      </c>
      <c r="N271"/>
      <c r="P271"/>
      <c r="Q271" s="4"/>
      <c r="R271"/>
      <c r="S271" s="125"/>
      <c r="T271"/>
      <c r="U271"/>
      <c r="V271"/>
      <c r="W271"/>
      <c r="X271"/>
      <c r="Y271"/>
    </row>
    <row r="272" spans="1:25" x14ac:dyDescent="0.3">
      <c r="A272" s="180"/>
      <c r="B272" s="204" t="s">
        <v>490</v>
      </c>
      <c r="C272" s="4" t="s">
        <v>214</v>
      </c>
      <c r="D272" s="133" t="s">
        <v>623</v>
      </c>
      <c r="E272" s="1" t="s">
        <v>215</v>
      </c>
      <c r="F272" s="4"/>
      <c r="G272" s="1">
        <v>500189</v>
      </c>
      <c r="H272" s="125"/>
      <c r="I272" s="125"/>
      <c r="J272" s="125">
        <v>-15.75</v>
      </c>
      <c r="K272" s="125">
        <v>-15.75</v>
      </c>
      <c r="L272" s="125">
        <f t="shared" si="3"/>
        <v>19793.949999999997</v>
      </c>
      <c r="M272" s="18" t="s">
        <v>90</v>
      </c>
      <c r="N272"/>
      <c r="P272"/>
      <c r="Q272" s="4"/>
      <c r="R272"/>
      <c r="S272" s="125"/>
      <c r="T272"/>
      <c r="U272"/>
      <c r="V272"/>
      <c r="W272"/>
      <c r="X272"/>
      <c r="Y272"/>
    </row>
    <row r="273" spans="1:25" x14ac:dyDescent="0.3">
      <c r="A273" s="180"/>
      <c r="B273" s="204" t="s">
        <v>490</v>
      </c>
      <c r="C273" s="4" t="s">
        <v>771</v>
      </c>
      <c r="D273" s="133" t="s">
        <v>512</v>
      </c>
      <c r="E273" s="1">
        <v>43525</v>
      </c>
      <c r="F273"/>
      <c r="G273" s="1"/>
      <c r="H273" s="125">
        <v>170</v>
      </c>
      <c r="I273" s="125"/>
      <c r="J273" s="125"/>
      <c r="K273" s="125">
        <v>170</v>
      </c>
      <c r="L273" s="125">
        <f t="shared" si="3"/>
        <v>19963.949999999997</v>
      </c>
      <c r="M273" s="16" t="s">
        <v>833</v>
      </c>
      <c r="N273"/>
      <c r="P273"/>
      <c r="Q273" s="4"/>
      <c r="R273"/>
      <c r="S273" s="125"/>
      <c r="T273"/>
      <c r="U273"/>
      <c r="V273"/>
      <c r="W273"/>
      <c r="X273"/>
      <c r="Y273"/>
    </row>
    <row r="274" spans="1:25" x14ac:dyDescent="0.3">
      <c r="A274" s="181"/>
      <c r="B274" s="204" t="s">
        <v>490</v>
      </c>
      <c r="C274" s="4" t="s">
        <v>771</v>
      </c>
      <c r="D274" s="133" t="s">
        <v>500</v>
      </c>
      <c r="E274" s="191" t="s">
        <v>814</v>
      </c>
      <c r="F274"/>
      <c r="G274" s="207" t="s">
        <v>324</v>
      </c>
      <c r="H274" s="192">
        <v>50</v>
      </c>
      <c r="I274" s="125"/>
      <c r="J274" s="125"/>
      <c r="K274" s="125">
        <v>50</v>
      </c>
      <c r="L274" s="125">
        <f t="shared" si="3"/>
        <v>20013.949999999997</v>
      </c>
      <c r="M274" s="16" t="s">
        <v>833</v>
      </c>
      <c r="N274"/>
      <c r="P274"/>
      <c r="Q274" s="4"/>
      <c r="R274"/>
      <c r="S274" s="125"/>
      <c r="T274"/>
      <c r="U274"/>
      <c r="V274"/>
      <c r="W274"/>
      <c r="X274"/>
      <c r="Y274"/>
    </row>
    <row r="275" spans="1:25" x14ac:dyDescent="0.3">
      <c r="A275" s="180"/>
      <c r="B275" s="204" t="s">
        <v>490</v>
      </c>
      <c r="C275" s="4" t="s">
        <v>268</v>
      </c>
      <c r="D275" s="133" t="s">
        <v>512</v>
      </c>
      <c r="E275" s="1"/>
      <c r="F275"/>
      <c r="G275" s="1"/>
      <c r="H275" s="125">
        <v>96</v>
      </c>
      <c r="I275" s="125"/>
      <c r="J275" s="125"/>
      <c r="K275" s="125">
        <v>96</v>
      </c>
      <c r="L275" s="125">
        <f t="shared" si="3"/>
        <v>20109.949999999997</v>
      </c>
      <c r="M275" s="16" t="s">
        <v>833</v>
      </c>
      <c r="N275" s="4"/>
      <c r="P275"/>
      <c r="Q275" s="4"/>
      <c r="R275"/>
      <c r="S275" s="125"/>
      <c r="T275"/>
      <c r="U275"/>
      <c r="V275"/>
      <c r="W275"/>
      <c r="X275"/>
      <c r="Y275"/>
    </row>
    <row r="276" spans="1:25" x14ac:dyDescent="0.3">
      <c r="A276" s="175"/>
      <c r="B276" s="204" t="s">
        <v>490</v>
      </c>
      <c r="C276" s="4" t="s">
        <v>451</v>
      </c>
      <c r="D276" s="133" t="s">
        <v>512</v>
      </c>
      <c r="E276" s="1"/>
      <c r="F276" s="4"/>
      <c r="G276" s="1"/>
      <c r="H276" s="125">
        <v>8</v>
      </c>
      <c r="I276" s="125"/>
      <c r="J276" s="125"/>
      <c r="K276" s="125">
        <v>8</v>
      </c>
      <c r="L276" s="125">
        <f t="shared" si="3"/>
        <v>20117.949999999997</v>
      </c>
      <c r="M276" s="16" t="s">
        <v>833</v>
      </c>
      <c r="N276"/>
      <c r="P276"/>
      <c r="Q276" s="4"/>
      <c r="R276" s="30" t="s">
        <v>832</v>
      </c>
      <c r="S276" s="30"/>
      <c r="T276" s="30"/>
      <c r="U276" s="30"/>
      <c r="V276"/>
      <c r="W276"/>
      <c r="X276"/>
      <c r="Y276"/>
    </row>
    <row r="277" spans="1:25" x14ac:dyDescent="0.3">
      <c r="A277" s="175"/>
      <c r="B277" s="204" t="s">
        <v>490</v>
      </c>
      <c r="C277" s="237" t="s">
        <v>604</v>
      </c>
      <c r="D277" s="133" t="s">
        <v>512</v>
      </c>
      <c r="E277" s="1"/>
      <c r="F277" s="4"/>
      <c r="G277" s="1"/>
      <c r="H277" s="125">
        <v>17</v>
      </c>
      <c r="I277" s="125"/>
      <c r="J277" s="125"/>
      <c r="K277" s="125">
        <v>17</v>
      </c>
      <c r="L277" s="125">
        <f t="shared" si="3"/>
        <v>20134.949999999997</v>
      </c>
      <c r="M277" s="16" t="s">
        <v>833</v>
      </c>
      <c r="N277"/>
      <c r="P277"/>
      <c r="Q277" s="4"/>
      <c r="R277"/>
      <c r="S277"/>
      <c r="T277"/>
      <c r="U277"/>
      <c r="V277"/>
      <c r="W277"/>
      <c r="X277"/>
      <c r="Y277"/>
    </row>
    <row r="278" spans="1:25" x14ac:dyDescent="0.3">
      <c r="A278" s="180"/>
      <c r="B278" s="204" t="s">
        <v>490</v>
      </c>
      <c r="C278" s="4" t="s">
        <v>819</v>
      </c>
      <c r="D278" s="133" t="s">
        <v>500</v>
      </c>
      <c r="E278" s="191" t="s">
        <v>815</v>
      </c>
      <c r="F278" s="4"/>
      <c r="G278" s="193"/>
      <c r="H278" s="192">
        <v>50</v>
      </c>
      <c r="I278" s="125"/>
      <c r="J278" s="125"/>
      <c r="K278" s="125">
        <v>50</v>
      </c>
      <c r="L278" s="125">
        <f t="shared" si="3"/>
        <v>20184.949999999997</v>
      </c>
      <c r="M278" s="16" t="s">
        <v>833</v>
      </c>
      <c r="N278"/>
      <c r="P278"/>
      <c r="Q278" s="4"/>
      <c r="R278" t="s">
        <v>584</v>
      </c>
      <c r="S278"/>
      <c r="T278"/>
      <c r="U278"/>
      <c r="V278">
        <v>20787.05</v>
      </c>
      <c r="W278"/>
      <c r="X278"/>
      <c r="Y278"/>
    </row>
    <row r="279" spans="1:25" x14ac:dyDescent="0.3">
      <c r="A279" s="175"/>
      <c r="B279" s="204" t="s">
        <v>490</v>
      </c>
      <c r="C279" s="4" t="s">
        <v>174</v>
      </c>
      <c r="D279" s="133" t="s">
        <v>513</v>
      </c>
      <c r="E279" s="1"/>
      <c r="F279" s="4"/>
      <c r="G279" s="1"/>
      <c r="H279" s="190">
        <v>3332</v>
      </c>
      <c r="I279" s="125"/>
      <c r="J279" s="125"/>
      <c r="K279" s="125">
        <v>3332</v>
      </c>
      <c r="L279" s="125">
        <f t="shared" si="3"/>
        <v>23516.949999999997</v>
      </c>
      <c r="M279" s="18" t="s">
        <v>90</v>
      </c>
      <c r="N279"/>
      <c r="P279"/>
      <c r="Q279" s="4"/>
      <c r="R279"/>
      <c r="S279"/>
      <c r="T279"/>
      <c r="U279"/>
      <c r="V279"/>
      <c r="W279"/>
      <c r="X279"/>
      <c r="Y279"/>
    </row>
    <row r="280" spans="1:25" x14ac:dyDescent="0.3">
      <c r="A280" s="180"/>
      <c r="B280" s="204" t="s">
        <v>490</v>
      </c>
      <c r="C280" s="4" t="s">
        <v>816</v>
      </c>
      <c r="D280" s="133" t="s">
        <v>512</v>
      </c>
      <c r="E280" s="1" t="s">
        <v>818</v>
      </c>
      <c r="F280" s="4"/>
      <c r="G280" s="1"/>
      <c r="H280" s="125">
        <v>85</v>
      </c>
      <c r="I280" s="125"/>
      <c r="J280" s="125"/>
      <c r="K280" s="125">
        <v>85</v>
      </c>
      <c r="L280" s="125">
        <f t="shared" si="3"/>
        <v>23601.949999999997</v>
      </c>
      <c r="M280" s="18" t="s">
        <v>412</v>
      </c>
      <c r="N280"/>
      <c r="P280"/>
      <c r="Q280" s="4"/>
      <c r="R280" t="s">
        <v>650</v>
      </c>
      <c r="S280"/>
      <c r="T280"/>
      <c r="U280" s="125"/>
      <c r="V280"/>
      <c r="W280"/>
      <c r="X280"/>
      <c r="Y280"/>
    </row>
    <row r="281" spans="1:25" x14ac:dyDescent="0.3">
      <c r="A281" s="180"/>
      <c r="B281" s="204" t="s">
        <v>490</v>
      </c>
      <c r="C281" s="4" t="s">
        <v>816</v>
      </c>
      <c r="D281" s="133" t="s">
        <v>500</v>
      </c>
      <c r="E281" s="191" t="s">
        <v>817</v>
      </c>
      <c r="F281" s="4"/>
      <c r="G281" s="193"/>
      <c r="H281" s="192">
        <v>50</v>
      </c>
      <c r="I281" s="125"/>
      <c r="J281" s="125"/>
      <c r="K281" s="125">
        <v>50</v>
      </c>
      <c r="L281" s="125">
        <f t="shared" si="3"/>
        <v>23651.949999999997</v>
      </c>
      <c r="M281" s="18" t="s">
        <v>412</v>
      </c>
      <c r="N281"/>
      <c r="P281"/>
      <c r="Q281" s="4"/>
      <c r="R281" t="s">
        <v>596</v>
      </c>
      <c r="S281"/>
      <c r="T281"/>
      <c r="U281" s="125">
        <v>8</v>
      </c>
      <c r="V281"/>
      <c r="W281" t="s">
        <v>572</v>
      </c>
      <c r="X281"/>
      <c r="Y281"/>
    </row>
    <row r="282" spans="1:25" x14ac:dyDescent="0.3">
      <c r="A282" s="180"/>
      <c r="B282" s="204" t="s">
        <v>490</v>
      </c>
      <c r="C282" s="4" t="s">
        <v>819</v>
      </c>
      <c r="D282" s="133" t="s">
        <v>504</v>
      </c>
      <c r="E282" s="191" t="s">
        <v>820</v>
      </c>
      <c r="F282" s="4"/>
      <c r="G282" s="1">
        <v>500191</v>
      </c>
      <c r="H282" s="125"/>
      <c r="I282" s="125"/>
      <c r="J282" s="192">
        <v>-50</v>
      </c>
      <c r="K282" s="125">
        <v>-50</v>
      </c>
      <c r="L282" s="125">
        <f t="shared" si="3"/>
        <v>23601.949999999997</v>
      </c>
      <c r="M282" s="18" t="s">
        <v>90</v>
      </c>
      <c r="N282"/>
      <c r="P282"/>
      <c r="Q282" s="4"/>
      <c r="R282" t="s">
        <v>174</v>
      </c>
      <c r="S282"/>
      <c r="T282"/>
      <c r="U282" s="125">
        <v>3332</v>
      </c>
      <c r="V282"/>
      <c r="W282" t="s">
        <v>90</v>
      </c>
      <c r="X282"/>
      <c r="Y282"/>
    </row>
    <row r="283" spans="1:25" x14ac:dyDescent="0.3">
      <c r="A283" s="180"/>
      <c r="B283" s="204" t="s">
        <v>490</v>
      </c>
      <c r="C283" s="4" t="s">
        <v>821</v>
      </c>
      <c r="D283" s="133" t="s">
        <v>512</v>
      </c>
      <c r="E283" s="1" t="s">
        <v>826</v>
      </c>
      <c r="F283" s="4"/>
      <c r="G283" s="1"/>
      <c r="H283" s="125">
        <v>51</v>
      </c>
      <c r="I283" s="125"/>
      <c r="J283" s="125"/>
      <c r="K283" s="125">
        <v>51</v>
      </c>
      <c r="L283" s="125">
        <f t="shared" si="3"/>
        <v>23652.949999999997</v>
      </c>
      <c r="M283" s="18" t="s">
        <v>412</v>
      </c>
      <c r="N283"/>
      <c r="P283"/>
      <c r="Q283" s="4"/>
      <c r="R283" t="s">
        <v>346</v>
      </c>
      <c r="S283"/>
      <c r="T283"/>
      <c r="U283" s="125">
        <v>255</v>
      </c>
      <c r="V283"/>
      <c r="W283" t="s">
        <v>90</v>
      </c>
      <c r="X283"/>
      <c r="Y283"/>
    </row>
    <row r="284" spans="1:25" x14ac:dyDescent="0.3">
      <c r="A284" s="180"/>
      <c r="B284" s="204" t="s">
        <v>490</v>
      </c>
      <c r="C284" s="4" t="s">
        <v>821</v>
      </c>
      <c r="D284" s="133" t="s">
        <v>500</v>
      </c>
      <c r="E284" s="191" t="s">
        <v>823</v>
      </c>
      <c r="F284" s="4"/>
      <c r="G284" s="207" t="s">
        <v>324</v>
      </c>
      <c r="H284" s="192">
        <v>50</v>
      </c>
      <c r="I284" s="125"/>
      <c r="J284" s="125"/>
      <c r="K284" s="125">
        <v>50</v>
      </c>
      <c r="L284" s="125">
        <f t="shared" si="3"/>
        <v>23702.949999999997</v>
      </c>
      <c r="M284" s="18" t="s">
        <v>412</v>
      </c>
      <c r="N284"/>
      <c r="P284"/>
      <c r="Q284" s="4"/>
      <c r="R284" t="s">
        <v>834</v>
      </c>
      <c r="S284"/>
      <c r="T284"/>
      <c r="U284" s="125">
        <v>51</v>
      </c>
      <c r="V284"/>
      <c r="W284" t="s">
        <v>90</v>
      </c>
      <c r="X284"/>
      <c r="Y284"/>
    </row>
    <row r="285" spans="1:25" x14ac:dyDescent="0.3">
      <c r="A285" s="180"/>
      <c r="B285" s="204" t="s">
        <v>490</v>
      </c>
      <c r="C285" s="4" t="s">
        <v>423</v>
      </c>
      <c r="D285" s="133" t="s">
        <v>512</v>
      </c>
      <c r="E285" s="1" t="s">
        <v>827</v>
      </c>
      <c r="F285" s="4"/>
      <c r="G285" s="1"/>
      <c r="H285" s="125">
        <v>51</v>
      </c>
      <c r="I285" s="125"/>
      <c r="J285" s="125"/>
      <c r="K285" s="125">
        <v>51</v>
      </c>
      <c r="L285" s="125">
        <f t="shared" si="3"/>
        <v>23753.949999999997</v>
      </c>
      <c r="M285" s="4" t="s">
        <v>587</v>
      </c>
      <c r="N285"/>
      <c r="P285"/>
      <c r="Q285" s="4"/>
      <c r="R285"/>
      <c r="S285"/>
      <c r="T285"/>
      <c r="U285"/>
      <c r="V285" s="125">
        <v>3646</v>
      </c>
      <c r="W285"/>
      <c r="X285"/>
      <c r="Y285"/>
    </row>
    <row r="286" spans="1:25" x14ac:dyDescent="0.3">
      <c r="A286" s="180"/>
      <c r="B286" s="204" t="s">
        <v>490</v>
      </c>
      <c r="C286" s="4" t="s">
        <v>423</v>
      </c>
      <c r="D286" s="133" t="s">
        <v>500</v>
      </c>
      <c r="E286" s="191" t="s">
        <v>824</v>
      </c>
      <c r="F286" s="4"/>
      <c r="G286" s="193"/>
      <c r="H286" s="192">
        <v>50</v>
      </c>
      <c r="I286" s="125"/>
      <c r="J286" s="125"/>
      <c r="K286" s="125">
        <v>50</v>
      </c>
      <c r="L286" s="125">
        <f t="shared" si="3"/>
        <v>23803.949999999997</v>
      </c>
      <c r="M286" s="4" t="s">
        <v>587</v>
      </c>
      <c r="N286"/>
      <c r="P286"/>
      <c r="Q286" s="4"/>
      <c r="R286" t="s">
        <v>586</v>
      </c>
      <c r="S286"/>
      <c r="T286"/>
      <c r="U286"/>
      <c r="V286"/>
      <c r="W286"/>
      <c r="X286"/>
      <c r="Y286"/>
    </row>
    <row r="287" spans="1:25" x14ac:dyDescent="0.3">
      <c r="A287" s="180"/>
      <c r="B287" s="204" t="s">
        <v>490</v>
      </c>
      <c r="C287" s="4" t="s">
        <v>822</v>
      </c>
      <c r="D287" s="133" t="s">
        <v>512</v>
      </c>
      <c r="E287" s="1" t="s">
        <v>828</v>
      </c>
      <c r="F287" s="4"/>
      <c r="G287" s="1"/>
      <c r="H287" s="125">
        <v>85</v>
      </c>
      <c r="I287" s="125"/>
      <c r="J287" s="125"/>
      <c r="K287" s="125">
        <v>85</v>
      </c>
      <c r="L287" s="125">
        <f t="shared" ref="L287:L350" si="4">+L286+K287</f>
        <v>23888.949999999997</v>
      </c>
      <c r="M287" s="4" t="s">
        <v>587</v>
      </c>
      <c r="N287"/>
      <c r="P287"/>
      <c r="Q287" s="4"/>
      <c r="R287"/>
      <c r="S287"/>
      <c r="T287"/>
      <c r="U287" s="125"/>
      <c r="V287" s="125"/>
      <c r="W287"/>
      <c r="X287"/>
      <c r="Y287"/>
    </row>
    <row r="288" spans="1:25" x14ac:dyDescent="0.3">
      <c r="A288" s="180"/>
      <c r="B288" s="204" t="s">
        <v>490</v>
      </c>
      <c r="C288" s="4" t="s">
        <v>822</v>
      </c>
      <c r="D288" s="133" t="s">
        <v>500</v>
      </c>
      <c r="E288" s="191" t="s">
        <v>825</v>
      </c>
      <c r="F288" s="205"/>
      <c r="G288" s="193"/>
      <c r="H288" s="192">
        <v>100</v>
      </c>
      <c r="I288" s="125"/>
      <c r="J288" s="125"/>
      <c r="K288" s="125">
        <v>100</v>
      </c>
      <c r="L288" s="125">
        <f t="shared" si="4"/>
        <v>23988.949999999997</v>
      </c>
      <c r="M288" s="4" t="s">
        <v>587</v>
      </c>
      <c r="N288"/>
      <c r="P288"/>
      <c r="Q288" s="4"/>
      <c r="R288"/>
      <c r="S288"/>
      <c r="T288"/>
      <c r="U288" s="125"/>
      <c r="V288"/>
      <c r="W288"/>
      <c r="X288"/>
      <c r="Y288"/>
    </row>
    <row r="289" spans="1:25" x14ac:dyDescent="0.3">
      <c r="A289" s="180"/>
      <c r="B289" s="204" t="s">
        <v>490</v>
      </c>
      <c r="C289" s="4" t="s">
        <v>654</v>
      </c>
      <c r="D289" s="133" t="s">
        <v>9</v>
      </c>
      <c r="E289" s="1" t="s">
        <v>344</v>
      </c>
      <c r="F289" s="4"/>
      <c r="G289" s="1"/>
      <c r="H289" s="125"/>
      <c r="I289" s="125"/>
      <c r="J289" s="125">
        <v>-86.59</v>
      </c>
      <c r="K289" s="125">
        <v>-86.59</v>
      </c>
      <c r="L289" s="125">
        <f t="shared" si="4"/>
        <v>23902.359999999997</v>
      </c>
      <c r="M289" s="18" t="s">
        <v>90</v>
      </c>
      <c r="N289" t="s">
        <v>926</v>
      </c>
      <c r="O289"/>
      <c r="P289"/>
      <c r="Q289" s="4"/>
      <c r="R289">
        <v>500753</v>
      </c>
      <c r="S289"/>
      <c r="T289"/>
      <c r="U289" s="125">
        <v>-100</v>
      </c>
      <c r="V289"/>
      <c r="W289"/>
      <c r="X289"/>
      <c r="Y289"/>
    </row>
    <row r="290" spans="1:25" x14ac:dyDescent="0.3">
      <c r="A290" s="175"/>
      <c r="B290" s="204" t="s">
        <v>490</v>
      </c>
      <c r="C290" s="4" t="s">
        <v>533</v>
      </c>
      <c r="D290" s="133" t="s">
        <v>12</v>
      </c>
      <c r="E290" s="1"/>
      <c r="F290" s="4"/>
      <c r="G290" s="1"/>
      <c r="H290" s="125"/>
      <c r="I290" s="125"/>
      <c r="J290" s="125">
        <v>-295.61</v>
      </c>
      <c r="K290" s="125">
        <v>-295.61</v>
      </c>
      <c r="L290" s="125">
        <f t="shared" si="4"/>
        <v>23606.749999999996</v>
      </c>
      <c r="M290" s="18" t="s">
        <v>90</v>
      </c>
      <c r="N290"/>
      <c r="P290"/>
      <c r="Q290" s="4"/>
      <c r="R290">
        <v>500190</v>
      </c>
      <c r="S290"/>
      <c r="T290"/>
      <c r="U290" s="125">
        <v>-50</v>
      </c>
      <c r="V290" s="125"/>
      <c r="W290" t="s">
        <v>90</v>
      </c>
      <c r="X290"/>
      <c r="Y290"/>
    </row>
    <row r="291" spans="1:25" x14ac:dyDescent="0.3">
      <c r="A291" s="180"/>
      <c r="B291" s="204" t="s">
        <v>490</v>
      </c>
      <c r="C291" s="4" t="s">
        <v>299</v>
      </c>
      <c r="D291" s="133" t="s">
        <v>301</v>
      </c>
      <c r="E291" s="1"/>
      <c r="F291" s="4"/>
      <c r="G291" s="1"/>
      <c r="H291" s="125"/>
      <c r="I291" s="125"/>
      <c r="J291" s="125">
        <v>-34.68</v>
      </c>
      <c r="K291" s="125">
        <v>-34.68</v>
      </c>
      <c r="L291" s="125">
        <f t="shared" si="4"/>
        <v>23572.069999999996</v>
      </c>
      <c r="M291" s="18" t="s">
        <v>90</v>
      </c>
      <c r="N291"/>
      <c r="P291"/>
      <c r="Q291" s="4"/>
      <c r="R291">
        <v>500130</v>
      </c>
      <c r="S291"/>
      <c r="T291"/>
      <c r="U291" s="125">
        <v>-90</v>
      </c>
      <c r="V291"/>
      <c r="W291" t="s">
        <v>90</v>
      </c>
      <c r="X291"/>
      <c r="Y291"/>
    </row>
    <row r="292" spans="1:25" x14ac:dyDescent="0.3">
      <c r="A292" s="180"/>
      <c r="B292" s="204" t="s">
        <v>490</v>
      </c>
      <c r="C292" s="4" t="s">
        <v>607</v>
      </c>
      <c r="D292" s="133" t="s">
        <v>11</v>
      </c>
      <c r="E292" s="1"/>
      <c r="F292" s="4"/>
      <c r="G292" s="1"/>
      <c r="H292" s="125"/>
      <c r="I292" s="125"/>
      <c r="J292" s="125">
        <v>-110.2</v>
      </c>
      <c r="K292" s="125">
        <v>-110.2</v>
      </c>
      <c r="L292" s="125">
        <f t="shared" si="4"/>
        <v>23461.869999999995</v>
      </c>
      <c r="M292" s="18" t="s">
        <v>90</v>
      </c>
      <c r="N292"/>
      <c r="P292"/>
      <c r="Q292" s="4"/>
      <c r="R292">
        <v>500131</v>
      </c>
      <c r="S292"/>
      <c r="T292"/>
      <c r="U292" s="125">
        <v>-25</v>
      </c>
      <c r="V292"/>
      <c r="W292"/>
      <c r="X292"/>
      <c r="Y292"/>
    </row>
    <row r="293" spans="1:25" x14ac:dyDescent="0.3">
      <c r="A293" s="180"/>
      <c r="B293" s="204" t="s">
        <v>490</v>
      </c>
      <c r="C293" s="4" t="s">
        <v>48</v>
      </c>
      <c r="D293" s="133" t="s">
        <v>12</v>
      </c>
      <c r="E293" s="1"/>
      <c r="F293" s="4"/>
      <c r="G293" s="1"/>
      <c r="H293" s="125"/>
      <c r="I293" s="125"/>
      <c r="J293" s="125">
        <v>-89.82</v>
      </c>
      <c r="K293" s="125">
        <v>-89.82</v>
      </c>
      <c r="L293" s="125">
        <f t="shared" si="4"/>
        <v>23372.049999999996</v>
      </c>
      <c r="M293" s="18" t="s">
        <v>90</v>
      </c>
      <c r="N293"/>
      <c r="P293"/>
      <c r="Q293" s="4"/>
      <c r="R293"/>
      <c r="S293"/>
      <c r="T293"/>
      <c r="U293"/>
      <c r="V293"/>
      <c r="W293"/>
      <c r="X293"/>
      <c r="Y293"/>
    </row>
    <row r="294" spans="1:25" x14ac:dyDescent="0.3">
      <c r="A294" s="180"/>
      <c r="B294" s="204" t="s">
        <v>490</v>
      </c>
      <c r="C294" s="4" t="s">
        <v>829</v>
      </c>
      <c r="D294" s="133" t="s">
        <v>512</v>
      </c>
      <c r="E294" s="1"/>
      <c r="F294" s="4"/>
      <c r="G294" s="1"/>
      <c r="H294" s="125">
        <v>34</v>
      </c>
      <c r="I294" s="125"/>
      <c r="J294" s="125"/>
      <c r="K294" s="125">
        <v>34</v>
      </c>
      <c r="L294" s="125">
        <f t="shared" si="4"/>
        <v>23406.049999999996</v>
      </c>
      <c r="M294" s="18" t="s">
        <v>90</v>
      </c>
      <c r="N294"/>
      <c r="P294"/>
      <c r="Q294" s="4"/>
      <c r="R294"/>
      <c r="S294"/>
      <c r="T294"/>
      <c r="U294"/>
      <c r="V294" s="125">
        <v>-265</v>
      </c>
      <c r="W294"/>
      <c r="X294"/>
      <c r="Y294"/>
    </row>
    <row r="295" spans="1:25" x14ac:dyDescent="0.3">
      <c r="A295" s="180"/>
      <c r="B295" s="204" t="s">
        <v>490</v>
      </c>
      <c r="C295" s="4" t="s">
        <v>166</v>
      </c>
      <c r="D295" s="133" t="s">
        <v>513</v>
      </c>
      <c r="E295" s="1"/>
      <c r="F295" s="4"/>
      <c r="G295" s="1"/>
      <c r="H295" s="190">
        <v>255</v>
      </c>
      <c r="I295" s="125"/>
      <c r="J295" s="125"/>
      <c r="K295" s="125">
        <v>255</v>
      </c>
      <c r="L295" s="125">
        <f t="shared" si="4"/>
        <v>23661.049999999996</v>
      </c>
      <c r="M295" s="18" t="s">
        <v>90</v>
      </c>
      <c r="N295"/>
      <c r="P295"/>
      <c r="Q295" s="4"/>
      <c r="R295"/>
      <c r="S295"/>
      <c r="T295"/>
      <c r="U295"/>
      <c r="V295"/>
      <c r="W295"/>
      <c r="X295"/>
      <c r="Y295"/>
    </row>
    <row r="296" spans="1:25" x14ac:dyDescent="0.3">
      <c r="A296" s="180"/>
      <c r="B296" s="204" t="s">
        <v>490</v>
      </c>
      <c r="C296" s="4" t="s">
        <v>830</v>
      </c>
      <c r="D296" s="133" t="s">
        <v>512</v>
      </c>
      <c r="E296" s="1"/>
      <c r="F296" s="4"/>
      <c r="G296" s="1"/>
      <c r="H296" s="125">
        <v>51</v>
      </c>
      <c r="I296" s="125"/>
      <c r="J296" s="125"/>
      <c r="K296" s="125">
        <v>51</v>
      </c>
      <c r="L296" s="125">
        <f t="shared" si="4"/>
        <v>23712.049999999996</v>
      </c>
      <c r="M296" s="18" t="s">
        <v>90</v>
      </c>
      <c r="N296"/>
      <c r="P296"/>
      <c r="Q296" s="4"/>
      <c r="R296" t="s">
        <v>652</v>
      </c>
      <c r="S296"/>
      <c r="T296"/>
      <c r="U296"/>
      <c r="V296" s="23">
        <v>24168.05</v>
      </c>
      <c r="W296"/>
      <c r="X296" t="s">
        <v>588</v>
      </c>
      <c r="Y296"/>
    </row>
    <row r="297" spans="1:25" x14ac:dyDescent="0.3">
      <c r="A297" s="180"/>
      <c r="B297" s="204" t="s">
        <v>490</v>
      </c>
      <c r="C297" s="4" t="s">
        <v>759</v>
      </c>
      <c r="D297" s="133" t="s">
        <v>512</v>
      </c>
      <c r="E297" s="1" t="s">
        <v>831</v>
      </c>
      <c r="F297" s="4"/>
      <c r="G297" s="1"/>
      <c r="H297" s="125">
        <v>456</v>
      </c>
      <c r="I297" s="125"/>
      <c r="J297" s="125"/>
      <c r="K297" s="125">
        <v>456</v>
      </c>
      <c r="L297" s="125">
        <f t="shared" si="4"/>
        <v>24168.049999999996</v>
      </c>
      <c r="M297" s="18" t="s">
        <v>90</v>
      </c>
      <c r="N297"/>
      <c r="P297"/>
      <c r="Q297" s="4"/>
      <c r="R297"/>
      <c r="S297"/>
      <c r="T297"/>
      <c r="U297"/>
      <c r="V297"/>
      <c r="W297"/>
      <c r="X297"/>
      <c r="Y297"/>
    </row>
    <row r="298" spans="1:25" x14ac:dyDescent="0.3">
      <c r="A298" s="180"/>
      <c r="B298" s="204"/>
      <c r="C298" s="4"/>
      <c r="D298" s="4"/>
      <c r="E298" s="1"/>
      <c r="F298" s="4"/>
      <c r="G298" s="1"/>
      <c r="H298" s="125"/>
      <c r="I298" s="125"/>
      <c r="J298" s="125"/>
      <c r="K298" s="125"/>
      <c r="L298" s="125">
        <f t="shared" si="4"/>
        <v>24168.049999999996</v>
      </c>
      <c r="N298"/>
      <c r="P298"/>
      <c r="Q298" s="4"/>
      <c r="R298"/>
      <c r="S298"/>
      <c r="T298"/>
      <c r="U298"/>
      <c r="V298"/>
      <c r="W298"/>
      <c r="X298"/>
      <c r="Y298"/>
    </row>
    <row r="299" spans="1:25" x14ac:dyDescent="0.3">
      <c r="A299" s="28" t="s">
        <v>400</v>
      </c>
      <c r="B299" s="187"/>
      <c r="C299"/>
      <c r="D299"/>
      <c r="E299" s="1"/>
      <c r="F299"/>
      <c r="G299" s="1"/>
      <c r="H299" s="125"/>
      <c r="I299" s="125"/>
      <c r="J299" s="125"/>
      <c r="K299" s="125"/>
      <c r="L299" s="125">
        <f t="shared" si="4"/>
        <v>24168.049999999996</v>
      </c>
      <c r="M299" s="16"/>
      <c r="N299"/>
      <c r="P299"/>
      <c r="Q299" s="4"/>
      <c r="R299"/>
      <c r="S299"/>
      <c r="T299"/>
      <c r="U299"/>
      <c r="V299"/>
      <c r="W299"/>
      <c r="X299"/>
      <c r="Y299"/>
    </row>
    <row r="300" spans="1:25" x14ac:dyDescent="0.3">
      <c r="A300" s="3"/>
      <c r="B300" s="187" t="s">
        <v>400</v>
      </c>
      <c r="C300" s="4" t="s">
        <v>58</v>
      </c>
      <c r="D300" s="133" t="s">
        <v>9</v>
      </c>
      <c r="E300" s="1" t="s">
        <v>835</v>
      </c>
      <c r="F300" s="4"/>
      <c r="G300" s="1"/>
      <c r="H300" s="125"/>
      <c r="I300" s="125"/>
      <c r="J300" s="125">
        <v>-94.23</v>
      </c>
      <c r="K300" s="125">
        <v>-94.23</v>
      </c>
      <c r="L300" s="125">
        <f t="shared" si="4"/>
        <v>24073.819999999996</v>
      </c>
      <c r="M300" s="18" t="s">
        <v>90</v>
      </c>
      <c r="N300"/>
      <c r="P300"/>
      <c r="Q300" s="4"/>
      <c r="R300"/>
      <c r="S300" s="125"/>
      <c r="T300"/>
      <c r="U300"/>
      <c r="V300"/>
      <c r="W300"/>
      <c r="X300"/>
      <c r="Y300"/>
    </row>
    <row r="301" spans="1:25" x14ac:dyDescent="0.3">
      <c r="A301" s="3"/>
      <c r="B301" s="187" t="s">
        <v>400</v>
      </c>
      <c r="C301" s="4" t="s">
        <v>533</v>
      </c>
      <c r="D301" s="133" t="s">
        <v>12</v>
      </c>
      <c r="E301" s="1"/>
      <c r="F301" s="4"/>
      <c r="G301" s="1"/>
      <c r="H301" s="125"/>
      <c r="I301" s="125"/>
      <c r="J301" s="125">
        <v>-295.61</v>
      </c>
      <c r="K301" s="125">
        <v>-295.61</v>
      </c>
      <c r="L301" s="125">
        <f t="shared" si="4"/>
        <v>23778.209999999995</v>
      </c>
      <c r="M301" s="18" t="s">
        <v>90</v>
      </c>
      <c r="N301"/>
      <c r="P301"/>
      <c r="Q301" s="4"/>
      <c r="R301"/>
      <c r="S301" s="125"/>
      <c r="T301"/>
      <c r="U301"/>
      <c r="V301"/>
      <c r="W301"/>
      <c r="X301"/>
      <c r="Y301"/>
    </row>
    <row r="302" spans="1:25" x14ac:dyDescent="0.3">
      <c r="A302" s="3"/>
      <c r="B302" s="187" t="s">
        <v>400</v>
      </c>
      <c r="C302" s="4" t="s">
        <v>299</v>
      </c>
      <c r="D302" s="133" t="s">
        <v>301</v>
      </c>
      <c r="E302" s="1"/>
      <c r="F302" s="4"/>
      <c r="G302" s="1"/>
      <c r="H302" s="125"/>
      <c r="I302" s="125"/>
      <c r="J302" s="125">
        <v>-35.880000000000003</v>
      </c>
      <c r="K302" s="125">
        <v>-35.880000000000003</v>
      </c>
      <c r="L302" s="125">
        <f t="shared" si="4"/>
        <v>23742.329999999994</v>
      </c>
      <c r="M302" s="18" t="s">
        <v>90</v>
      </c>
      <c r="N302"/>
      <c r="P302"/>
      <c r="Q302" s="4"/>
      <c r="R302"/>
      <c r="S302" s="125"/>
      <c r="T302"/>
      <c r="U302"/>
      <c r="V302"/>
      <c r="W302"/>
      <c r="X302"/>
      <c r="Y302"/>
    </row>
    <row r="303" spans="1:25" x14ac:dyDescent="0.3">
      <c r="A303" s="3"/>
      <c r="B303" s="187" t="s">
        <v>400</v>
      </c>
      <c r="C303" s="4" t="s">
        <v>607</v>
      </c>
      <c r="D303" s="133" t="s">
        <v>11</v>
      </c>
      <c r="E303" s="1"/>
      <c r="F303" s="4"/>
      <c r="G303" s="1"/>
      <c r="H303" s="125"/>
      <c r="I303" s="125"/>
      <c r="J303" s="125">
        <v>-110.2</v>
      </c>
      <c r="K303" s="125">
        <v>-110.2</v>
      </c>
      <c r="L303" s="125">
        <f t="shared" si="4"/>
        <v>23632.129999999994</v>
      </c>
      <c r="M303" s="18" t="s">
        <v>90</v>
      </c>
      <c r="N303"/>
      <c r="P303"/>
      <c r="Q303" s="4"/>
      <c r="R303"/>
      <c r="S303" s="125"/>
      <c r="T303"/>
      <c r="U303"/>
      <c r="V303"/>
      <c r="W303"/>
      <c r="X303"/>
      <c r="Y303"/>
    </row>
    <row r="304" spans="1:25" x14ac:dyDescent="0.3">
      <c r="A304" s="182"/>
      <c r="B304" s="187" t="s">
        <v>400</v>
      </c>
      <c r="C304" s="4" t="s">
        <v>48</v>
      </c>
      <c r="D304" s="133" t="s">
        <v>12</v>
      </c>
      <c r="E304" s="1"/>
      <c r="F304" s="4"/>
      <c r="G304" s="1"/>
      <c r="H304" s="125"/>
      <c r="I304" s="125"/>
      <c r="J304" s="125">
        <v>-89.82</v>
      </c>
      <c r="K304" s="125">
        <v>-89.82</v>
      </c>
      <c r="L304" s="125">
        <f t="shared" si="4"/>
        <v>23542.309999999994</v>
      </c>
      <c r="M304" s="18" t="s">
        <v>90</v>
      </c>
      <c r="N304"/>
      <c r="P304"/>
      <c r="Q304" s="4"/>
      <c r="R304"/>
      <c r="S304" s="30" t="s">
        <v>866</v>
      </c>
      <c r="T304" s="30"/>
      <c r="U304" s="30"/>
      <c r="V304" s="30"/>
      <c r="W304"/>
      <c r="X304"/>
      <c r="Y304"/>
    </row>
    <row r="305" spans="1:25" x14ac:dyDescent="0.3">
      <c r="A305" s="182"/>
      <c r="B305" s="187" t="s">
        <v>400</v>
      </c>
      <c r="C305" s="4" t="s">
        <v>596</v>
      </c>
      <c r="D305" s="133" t="s">
        <v>512</v>
      </c>
      <c r="E305" s="1" t="s">
        <v>836</v>
      </c>
      <c r="F305" s="4"/>
      <c r="G305" s="1"/>
      <c r="H305" s="125">
        <v>-8</v>
      </c>
      <c r="I305" s="125"/>
      <c r="J305" s="125"/>
      <c r="K305" s="125">
        <v>-8</v>
      </c>
      <c r="L305" s="125">
        <f t="shared" si="4"/>
        <v>23534.309999999994</v>
      </c>
      <c r="M305" s="18" t="s">
        <v>572</v>
      </c>
      <c r="N305" s="16"/>
      <c r="P305"/>
      <c r="Q305" s="4"/>
      <c r="R305"/>
      <c r="S305"/>
      <c r="T305"/>
      <c r="U305"/>
      <c r="V305"/>
      <c r="W305"/>
      <c r="X305"/>
      <c r="Y305"/>
    </row>
    <row r="306" spans="1:25" x14ac:dyDescent="0.3">
      <c r="A306" s="3"/>
      <c r="B306" s="187" t="s">
        <v>400</v>
      </c>
      <c r="C306" s="4" t="s">
        <v>654</v>
      </c>
      <c r="D306" s="133" t="s">
        <v>8</v>
      </c>
      <c r="E306" s="1" t="s">
        <v>837</v>
      </c>
      <c r="F306" s="4"/>
      <c r="G306" s="1"/>
      <c r="H306" s="125"/>
      <c r="I306" s="125"/>
      <c r="J306" s="125">
        <v>-116.85</v>
      </c>
      <c r="K306" s="125">
        <v>-116.85</v>
      </c>
      <c r="L306" s="125">
        <f t="shared" si="4"/>
        <v>23417.459999999995</v>
      </c>
      <c r="M306" s="18" t="s">
        <v>90</v>
      </c>
      <c r="N306" s="16"/>
      <c r="P306"/>
      <c r="Q306" s="4"/>
      <c r="R306"/>
      <c r="S306" t="s">
        <v>584</v>
      </c>
      <c r="T306"/>
      <c r="U306"/>
      <c r="V306"/>
      <c r="W306">
        <v>23981.21</v>
      </c>
      <c r="X306"/>
      <c r="Y306"/>
    </row>
    <row r="307" spans="1:25" x14ac:dyDescent="0.3">
      <c r="A307" s="3"/>
      <c r="B307" s="187" t="s">
        <v>400</v>
      </c>
      <c r="C307" s="4" t="s">
        <v>838</v>
      </c>
      <c r="D307" s="133" t="s">
        <v>512</v>
      </c>
      <c r="E307" s="1" t="s">
        <v>839</v>
      </c>
      <c r="F307" s="4"/>
      <c r="G307" s="1"/>
      <c r="H307" s="125">
        <v>68</v>
      </c>
      <c r="I307" s="125"/>
      <c r="J307" s="125"/>
      <c r="K307" s="125">
        <v>68</v>
      </c>
      <c r="L307" s="125">
        <f t="shared" si="4"/>
        <v>23485.459999999995</v>
      </c>
      <c r="M307" s="18" t="s">
        <v>90</v>
      </c>
      <c r="N307"/>
      <c r="P307"/>
      <c r="Q307" s="4"/>
      <c r="R307"/>
      <c r="S307"/>
      <c r="T307"/>
      <c r="U307"/>
      <c r="V307"/>
      <c r="W307"/>
      <c r="X307"/>
      <c r="Y307"/>
    </row>
    <row r="308" spans="1:25" x14ac:dyDescent="0.3">
      <c r="A308" s="174"/>
      <c r="B308" s="187" t="s">
        <v>400</v>
      </c>
      <c r="C308" s="4" t="s">
        <v>842</v>
      </c>
      <c r="D308" s="133" t="s">
        <v>512</v>
      </c>
      <c r="E308" s="1" t="s">
        <v>843</v>
      </c>
      <c r="F308" s="4"/>
      <c r="G308" s="1"/>
      <c r="H308" s="125">
        <v>12</v>
      </c>
      <c r="I308" s="125"/>
      <c r="J308" s="125"/>
      <c r="K308" s="125">
        <v>12</v>
      </c>
      <c r="L308" s="125">
        <f t="shared" si="4"/>
        <v>23497.459999999995</v>
      </c>
      <c r="M308" s="18" t="s">
        <v>606</v>
      </c>
      <c r="N308"/>
      <c r="P308"/>
      <c r="Q308" s="4"/>
      <c r="R308"/>
      <c r="S308" t="s">
        <v>650</v>
      </c>
      <c r="T308"/>
      <c r="U308"/>
      <c r="V308" s="125"/>
      <c r="W308"/>
      <c r="X308"/>
      <c r="Y308"/>
    </row>
    <row r="309" spans="1:25" x14ac:dyDescent="0.3">
      <c r="A309" s="174"/>
      <c r="B309" s="187" t="s">
        <v>400</v>
      </c>
      <c r="C309" s="4" t="s">
        <v>475</v>
      </c>
      <c r="D309" s="133" t="s">
        <v>512</v>
      </c>
      <c r="E309" s="1"/>
      <c r="F309"/>
      <c r="G309" s="1"/>
      <c r="H309" s="125">
        <v>8.5</v>
      </c>
      <c r="I309" s="125"/>
      <c r="J309" s="125"/>
      <c r="K309" s="125">
        <v>8.5</v>
      </c>
      <c r="L309" s="125">
        <f t="shared" si="4"/>
        <v>23505.959999999995</v>
      </c>
      <c r="M309" s="18" t="s">
        <v>606</v>
      </c>
      <c r="N309"/>
      <c r="P309"/>
      <c r="Q309" s="4"/>
      <c r="R309"/>
      <c r="S309"/>
      <c r="T309"/>
      <c r="U309"/>
      <c r="V309"/>
      <c r="W309"/>
      <c r="X309"/>
      <c r="Y309"/>
    </row>
    <row r="310" spans="1:25" x14ac:dyDescent="0.3">
      <c r="A310" s="174"/>
      <c r="B310" s="187" t="s">
        <v>400</v>
      </c>
      <c r="C310" s="237" t="s">
        <v>604</v>
      </c>
      <c r="D310" s="133" t="s">
        <v>512</v>
      </c>
      <c r="E310" s="1"/>
      <c r="F310"/>
      <c r="G310" s="1"/>
      <c r="H310" s="125">
        <v>51</v>
      </c>
      <c r="I310" s="125"/>
      <c r="J310" s="125"/>
      <c r="K310" s="125">
        <v>51</v>
      </c>
      <c r="L310" s="125">
        <f t="shared" si="4"/>
        <v>23556.959999999995</v>
      </c>
      <c r="M310" s="18" t="s">
        <v>606</v>
      </c>
      <c r="N310"/>
      <c r="P310"/>
      <c r="Q310" s="4"/>
      <c r="R310"/>
      <c r="S310" t="s">
        <v>867</v>
      </c>
      <c r="T310"/>
      <c r="U310"/>
      <c r="V310" s="125">
        <v>-85</v>
      </c>
      <c r="W310"/>
      <c r="X310" t="s">
        <v>572</v>
      </c>
      <c r="Y310"/>
    </row>
    <row r="311" spans="1:25" x14ac:dyDescent="0.3">
      <c r="A311" s="174"/>
      <c r="B311" s="187" t="s">
        <v>400</v>
      </c>
      <c r="C311" s="4" t="s">
        <v>841</v>
      </c>
      <c r="D311" s="133" t="s">
        <v>512</v>
      </c>
      <c r="E311" s="1"/>
      <c r="F311" s="4"/>
      <c r="G311" s="1"/>
      <c r="H311" s="125">
        <v>50</v>
      </c>
      <c r="I311" s="125"/>
      <c r="J311" s="125"/>
      <c r="K311" s="125">
        <v>50</v>
      </c>
      <c r="L311" s="125">
        <f t="shared" si="4"/>
        <v>23606.959999999995</v>
      </c>
      <c r="M311" s="18" t="s">
        <v>606</v>
      </c>
      <c r="N311"/>
      <c r="P311"/>
      <c r="Q311" s="4"/>
      <c r="R311"/>
      <c r="S311"/>
      <c r="T311"/>
      <c r="U311"/>
      <c r="V311" s="125"/>
      <c r="W311"/>
      <c r="X311"/>
      <c r="Y311"/>
    </row>
    <row r="312" spans="1:25" x14ac:dyDescent="0.3">
      <c r="A312" s="174"/>
      <c r="B312" s="187" t="s">
        <v>400</v>
      </c>
      <c r="C312" s="4" t="s">
        <v>841</v>
      </c>
      <c r="D312" s="133" t="s">
        <v>500</v>
      </c>
      <c r="E312" s="191" t="s">
        <v>840</v>
      </c>
      <c r="F312"/>
      <c r="G312" s="207" t="s">
        <v>324</v>
      </c>
      <c r="H312" s="192">
        <v>50</v>
      </c>
      <c r="I312" s="125"/>
      <c r="J312" s="125"/>
      <c r="K312" s="125">
        <v>50</v>
      </c>
      <c r="L312" s="125">
        <f t="shared" si="4"/>
        <v>23656.959999999995</v>
      </c>
      <c r="M312" s="18" t="s">
        <v>606</v>
      </c>
      <c r="N312"/>
      <c r="P312"/>
      <c r="Q312" s="4"/>
      <c r="R312"/>
      <c r="S312"/>
      <c r="T312"/>
      <c r="U312"/>
      <c r="V312" s="125"/>
      <c r="W312"/>
      <c r="X312"/>
      <c r="Y312"/>
    </row>
    <row r="313" spans="1:25" x14ac:dyDescent="0.3">
      <c r="A313" s="174"/>
      <c r="B313" s="187" t="s">
        <v>400</v>
      </c>
      <c r="C313" s="4" t="s">
        <v>844</v>
      </c>
      <c r="D313" s="133" t="s">
        <v>512</v>
      </c>
      <c r="E313" s="1"/>
      <c r="F313"/>
      <c r="G313" s="1"/>
      <c r="H313" s="125">
        <v>14.25</v>
      </c>
      <c r="I313" s="125"/>
      <c r="J313" s="125"/>
      <c r="K313" s="125">
        <v>14.25</v>
      </c>
      <c r="L313" s="125">
        <f t="shared" si="4"/>
        <v>23671.209999999995</v>
      </c>
      <c r="M313" s="18" t="s">
        <v>412</v>
      </c>
      <c r="N313"/>
      <c r="P313"/>
      <c r="Q313" s="4"/>
      <c r="R313"/>
      <c r="S313"/>
      <c r="T313"/>
      <c r="U313"/>
      <c r="V313" s="125"/>
      <c r="W313"/>
      <c r="X313"/>
      <c r="Y313"/>
    </row>
    <row r="314" spans="1:25" x14ac:dyDescent="0.3">
      <c r="A314" s="174"/>
      <c r="B314" s="187" t="s">
        <v>400</v>
      </c>
      <c r="C314" s="4" t="s">
        <v>846</v>
      </c>
      <c r="D314" s="133" t="s">
        <v>512</v>
      </c>
      <c r="E314" s="1"/>
      <c r="F314"/>
      <c r="G314" s="1"/>
      <c r="H314" s="125">
        <v>42.5</v>
      </c>
      <c r="I314" s="125"/>
      <c r="J314" s="125"/>
      <c r="K314" s="125">
        <v>42.5</v>
      </c>
      <c r="L314" s="125">
        <f t="shared" si="4"/>
        <v>23713.709999999995</v>
      </c>
      <c r="M314" s="18" t="s">
        <v>412</v>
      </c>
      <c r="N314"/>
      <c r="P314"/>
      <c r="Q314" s="4"/>
      <c r="R314"/>
      <c r="S314"/>
      <c r="T314"/>
      <c r="U314"/>
      <c r="V314"/>
      <c r="W314" s="125">
        <v>-85</v>
      </c>
      <c r="X314"/>
      <c r="Y314"/>
    </row>
    <row r="315" spans="1:25" x14ac:dyDescent="0.3">
      <c r="A315" s="174"/>
      <c r="B315" s="187" t="s">
        <v>400</v>
      </c>
      <c r="C315" s="4" t="s">
        <v>846</v>
      </c>
      <c r="D315" s="133" t="s">
        <v>500</v>
      </c>
      <c r="E315" s="191" t="s">
        <v>845</v>
      </c>
      <c r="F315"/>
      <c r="G315" s="193"/>
      <c r="H315" s="192">
        <v>50</v>
      </c>
      <c r="I315" s="125"/>
      <c r="J315" s="125"/>
      <c r="K315" s="125">
        <v>50</v>
      </c>
      <c r="L315" s="125">
        <f t="shared" si="4"/>
        <v>23763.709999999995</v>
      </c>
      <c r="M315" s="18" t="s">
        <v>412</v>
      </c>
      <c r="N315"/>
      <c r="P315"/>
      <c r="Q315" s="4"/>
      <c r="R315"/>
      <c r="S315" t="s">
        <v>586</v>
      </c>
      <c r="T315"/>
      <c r="U315"/>
      <c r="V315"/>
      <c r="W315"/>
      <c r="X315"/>
      <c r="Y315"/>
    </row>
    <row r="316" spans="1:25" x14ac:dyDescent="0.3">
      <c r="A316" s="174"/>
      <c r="B316" s="187" t="s">
        <v>400</v>
      </c>
      <c r="C316" s="4" t="s">
        <v>848</v>
      </c>
      <c r="D316" s="202" t="s">
        <v>468</v>
      </c>
      <c r="E316" s="1" t="s">
        <v>847</v>
      </c>
      <c r="F316"/>
      <c r="G316" s="1"/>
      <c r="H316" s="125"/>
      <c r="I316" s="125"/>
      <c r="J316" s="125">
        <v>-350</v>
      </c>
      <c r="K316" s="125">
        <v>-350</v>
      </c>
      <c r="L316" s="125">
        <f t="shared" si="4"/>
        <v>23413.709999999995</v>
      </c>
      <c r="M316" s="18" t="s">
        <v>90</v>
      </c>
      <c r="N316"/>
      <c r="P316"/>
      <c r="Q316" s="4"/>
      <c r="R316"/>
      <c r="S316"/>
      <c r="T316"/>
      <c r="U316"/>
      <c r="V316" s="125"/>
      <c r="W316" s="125"/>
      <c r="X316"/>
      <c r="Y316"/>
    </row>
    <row r="317" spans="1:25" x14ac:dyDescent="0.3">
      <c r="A317" s="174"/>
      <c r="B317" s="187" t="s">
        <v>400</v>
      </c>
      <c r="C317" s="4" t="s">
        <v>261</v>
      </c>
      <c r="D317" s="133" t="s">
        <v>86</v>
      </c>
      <c r="E317" s="1"/>
      <c r="F317"/>
      <c r="G317" s="1"/>
      <c r="H317" s="125">
        <v>15</v>
      </c>
      <c r="I317" s="125"/>
      <c r="J317" s="125"/>
      <c r="K317" s="125">
        <v>15</v>
      </c>
      <c r="L317" s="125">
        <f t="shared" si="4"/>
        <v>23428.709999999995</v>
      </c>
      <c r="M317" s="18" t="s">
        <v>90</v>
      </c>
      <c r="N317"/>
      <c r="P317"/>
      <c r="Q317" s="4"/>
      <c r="R317"/>
      <c r="S317"/>
      <c r="T317"/>
      <c r="U317"/>
      <c r="V317" s="125"/>
      <c r="W317"/>
      <c r="X317"/>
      <c r="Y317"/>
    </row>
    <row r="318" spans="1:25" x14ac:dyDescent="0.3">
      <c r="A318" s="174"/>
      <c r="B318" s="187" t="s">
        <v>400</v>
      </c>
      <c r="C318" s="4" t="s">
        <v>854</v>
      </c>
      <c r="D318" s="133" t="s">
        <v>504</v>
      </c>
      <c r="E318" s="191" t="s">
        <v>849</v>
      </c>
      <c r="F318" s="4"/>
      <c r="G318" s="1">
        <v>500192</v>
      </c>
      <c r="H318" s="125"/>
      <c r="I318" s="125"/>
      <c r="J318" s="192">
        <v>-50</v>
      </c>
      <c r="K318" s="125">
        <v>-50</v>
      </c>
      <c r="L318" s="125">
        <f t="shared" si="4"/>
        <v>23378.709999999995</v>
      </c>
      <c r="M318" s="18" t="s">
        <v>893</v>
      </c>
      <c r="N318"/>
      <c r="P318"/>
      <c r="Q318" s="4"/>
      <c r="R318"/>
      <c r="S318">
        <v>500753</v>
      </c>
      <c r="T318"/>
      <c r="U318"/>
      <c r="V318" s="125">
        <v>-100</v>
      </c>
      <c r="W318"/>
      <c r="X318"/>
      <c r="Y318"/>
    </row>
    <row r="319" spans="1:25" x14ac:dyDescent="0.3">
      <c r="A319" s="174"/>
      <c r="B319" s="187" t="s">
        <v>400</v>
      </c>
      <c r="C319" s="4" t="s">
        <v>853</v>
      </c>
      <c r="D319" s="133" t="s">
        <v>504</v>
      </c>
      <c r="E319" s="191" t="s">
        <v>862</v>
      </c>
      <c r="F319"/>
      <c r="G319" s="1">
        <v>500193</v>
      </c>
      <c r="H319" s="125"/>
      <c r="I319" s="125"/>
      <c r="J319" s="192">
        <v>-50</v>
      </c>
      <c r="K319" s="125">
        <v>-50</v>
      </c>
      <c r="L319" s="125">
        <f t="shared" si="4"/>
        <v>23328.709999999995</v>
      </c>
      <c r="M319" s="18" t="s">
        <v>893</v>
      </c>
      <c r="N319"/>
      <c r="P319"/>
      <c r="Q319" s="4"/>
      <c r="R319"/>
      <c r="S319">
        <v>500192</v>
      </c>
      <c r="T319"/>
      <c r="U319"/>
      <c r="V319" s="125">
        <v>-50</v>
      </c>
      <c r="W319" s="125"/>
      <c r="X319"/>
      <c r="Y319"/>
    </row>
    <row r="320" spans="1:25" x14ac:dyDescent="0.3">
      <c r="A320" s="3"/>
      <c r="B320" s="187" t="s">
        <v>400</v>
      </c>
      <c r="C320" s="4" t="s">
        <v>423</v>
      </c>
      <c r="D320" s="133" t="s">
        <v>504</v>
      </c>
      <c r="E320" s="191" t="s">
        <v>855</v>
      </c>
      <c r="F320" s="4"/>
      <c r="G320" s="1">
        <v>500194</v>
      </c>
      <c r="H320" s="125"/>
      <c r="I320" s="125"/>
      <c r="J320" s="192">
        <v>-50</v>
      </c>
      <c r="K320" s="125">
        <v>-50</v>
      </c>
      <c r="L320" s="125">
        <f t="shared" si="4"/>
        <v>23278.709999999995</v>
      </c>
      <c r="M320" s="18" t="s">
        <v>324</v>
      </c>
      <c r="N320"/>
      <c r="P320"/>
      <c r="Q320" s="4"/>
      <c r="R320"/>
      <c r="S320">
        <v>500193</v>
      </c>
      <c r="T320"/>
      <c r="U320"/>
      <c r="V320" s="125">
        <v>-50</v>
      </c>
      <c r="W320"/>
      <c r="X320"/>
      <c r="Y320"/>
    </row>
    <row r="321" spans="1:25" x14ac:dyDescent="0.3">
      <c r="A321" s="3"/>
      <c r="B321" s="187" t="s">
        <v>400</v>
      </c>
      <c r="C321" s="4" t="s">
        <v>850</v>
      </c>
      <c r="D321" s="133" t="s">
        <v>500</v>
      </c>
      <c r="E321" s="191" t="s">
        <v>851</v>
      </c>
      <c r="F321" s="4"/>
      <c r="G321" s="193"/>
      <c r="H321" s="192">
        <v>50</v>
      </c>
      <c r="I321" s="125"/>
      <c r="J321" s="125"/>
      <c r="K321" s="125">
        <v>50</v>
      </c>
      <c r="L321" s="125">
        <f t="shared" si="4"/>
        <v>23328.709999999995</v>
      </c>
      <c r="M321" s="18" t="s">
        <v>90</v>
      </c>
      <c r="N321"/>
      <c r="O321" s="18" t="s">
        <v>852</v>
      </c>
      <c r="P321" s="18"/>
      <c r="Q321" s="4"/>
      <c r="R321"/>
      <c r="S321">
        <v>500131</v>
      </c>
      <c r="T321"/>
      <c r="U321"/>
      <c r="V321" s="125">
        <v>-25</v>
      </c>
      <c r="W321"/>
      <c r="X321"/>
      <c r="Y321"/>
    </row>
    <row r="322" spans="1:25" x14ac:dyDescent="0.3">
      <c r="A322" s="195"/>
      <c r="B322" s="187" t="s">
        <v>400</v>
      </c>
      <c r="C322" s="4" t="s">
        <v>856</v>
      </c>
      <c r="D322" s="133" t="s">
        <v>512</v>
      </c>
      <c r="E322" s="1" t="s">
        <v>857</v>
      </c>
      <c r="F322" s="4"/>
      <c r="G322" s="1"/>
      <c r="H322" s="125">
        <v>48</v>
      </c>
      <c r="I322" s="125"/>
      <c r="J322" s="125"/>
      <c r="K322" s="125">
        <v>48</v>
      </c>
      <c r="L322" s="125">
        <f t="shared" si="4"/>
        <v>23376.709999999995</v>
      </c>
      <c r="M322" s="18" t="s">
        <v>412</v>
      </c>
      <c r="N322"/>
      <c r="P322"/>
      <c r="Q322" s="4"/>
      <c r="R322"/>
      <c r="S322">
        <v>500194</v>
      </c>
      <c r="T322"/>
      <c r="U322"/>
      <c r="V322" s="125">
        <v>-50</v>
      </c>
      <c r="W322"/>
      <c r="X322"/>
      <c r="Y322"/>
    </row>
    <row r="323" spans="1:25" x14ac:dyDescent="0.3">
      <c r="A323" s="3"/>
      <c r="B323" s="187" t="s">
        <v>400</v>
      </c>
      <c r="C323" s="4" t="s">
        <v>859</v>
      </c>
      <c r="D323" s="133" t="s">
        <v>500</v>
      </c>
      <c r="E323" s="191" t="s">
        <v>860</v>
      </c>
      <c r="F323" s="4"/>
      <c r="G323" s="193"/>
      <c r="H323" s="192">
        <v>50</v>
      </c>
      <c r="I323" s="125"/>
      <c r="J323" s="125"/>
      <c r="K323" s="125">
        <v>50</v>
      </c>
      <c r="L323" s="125">
        <f t="shared" si="4"/>
        <v>23426.709999999995</v>
      </c>
      <c r="M323" s="18" t="s">
        <v>412</v>
      </c>
      <c r="N323"/>
      <c r="P323"/>
      <c r="Q323" s="4"/>
      <c r="R323"/>
      <c r="S323"/>
      <c r="T323"/>
      <c r="U323"/>
      <c r="V323"/>
      <c r="W323" s="125">
        <v>-275</v>
      </c>
      <c r="X323"/>
      <c r="Y323"/>
    </row>
    <row r="324" spans="1:25" x14ac:dyDescent="0.3">
      <c r="A324" s="174"/>
      <c r="B324" s="187" t="s">
        <v>400</v>
      </c>
      <c r="C324" s="4" t="s">
        <v>859</v>
      </c>
      <c r="D324" s="133" t="s">
        <v>512</v>
      </c>
      <c r="E324" s="1">
        <v>43815</v>
      </c>
      <c r="F324" s="4"/>
      <c r="G324" s="1"/>
      <c r="H324" s="125">
        <v>85</v>
      </c>
      <c r="I324" s="125"/>
      <c r="J324" s="125"/>
      <c r="K324" s="125">
        <v>85</v>
      </c>
      <c r="L324" s="125">
        <f t="shared" si="4"/>
        <v>23511.709999999995</v>
      </c>
      <c r="M324" s="18" t="s">
        <v>412</v>
      </c>
      <c r="N324"/>
      <c r="P324"/>
      <c r="Q324" s="4"/>
      <c r="R324"/>
      <c r="S324"/>
      <c r="T324"/>
      <c r="U324"/>
      <c r="V324"/>
      <c r="W324"/>
      <c r="X324"/>
      <c r="Y324"/>
    </row>
    <row r="325" spans="1:25" x14ac:dyDescent="0.3">
      <c r="A325" s="3"/>
      <c r="B325" s="187" t="s">
        <v>400</v>
      </c>
      <c r="C325" s="4" t="s">
        <v>858</v>
      </c>
      <c r="D325" s="133" t="s">
        <v>500</v>
      </c>
      <c r="E325" s="191" t="s">
        <v>861</v>
      </c>
      <c r="F325" s="4"/>
      <c r="G325" s="1"/>
      <c r="H325" s="192">
        <v>50</v>
      </c>
      <c r="I325" s="125"/>
      <c r="J325" s="125"/>
      <c r="K325" s="125">
        <v>50</v>
      </c>
      <c r="L325" s="125">
        <f t="shared" si="4"/>
        <v>23561.709999999995</v>
      </c>
      <c r="M325" s="18" t="s">
        <v>412</v>
      </c>
      <c r="N325"/>
      <c r="P325"/>
      <c r="Q325" s="4"/>
      <c r="R325"/>
      <c r="S325" t="s">
        <v>652</v>
      </c>
      <c r="T325"/>
      <c r="U325"/>
      <c r="V325"/>
      <c r="W325" s="23">
        <v>23621.21</v>
      </c>
      <c r="X325"/>
      <c r="Y325" t="s">
        <v>588</v>
      </c>
    </row>
    <row r="326" spans="1:25" x14ac:dyDescent="0.3">
      <c r="A326" s="3"/>
      <c r="B326" s="187" t="s">
        <v>400</v>
      </c>
      <c r="C326" s="4" t="s">
        <v>858</v>
      </c>
      <c r="D326" s="133" t="s">
        <v>512</v>
      </c>
      <c r="E326" s="1">
        <v>43765</v>
      </c>
      <c r="F326" s="4"/>
      <c r="G326" s="1"/>
      <c r="H326" s="125">
        <v>59.5</v>
      </c>
      <c r="I326" s="125"/>
      <c r="J326" s="125"/>
      <c r="K326" s="125">
        <v>59.5</v>
      </c>
      <c r="L326" s="125">
        <f t="shared" si="4"/>
        <v>23621.209999999995</v>
      </c>
      <c r="M326" s="18" t="s">
        <v>412</v>
      </c>
      <c r="N326"/>
      <c r="P326"/>
      <c r="Q326" s="4"/>
      <c r="R326"/>
      <c r="S326"/>
      <c r="T326"/>
      <c r="U326"/>
      <c r="V326"/>
      <c r="W326"/>
      <c r="X326"/>
      <c r="Y326"/>
    </row>
    <row r="327" spans="1:25" x14ac:dyDescent="0.3">
      <c r="A327" s="28" t="s">
        <v>82</v>
      </c>
      <c r="B327" s="187"/>
      <c r="C327" s="4"/>
      <c r="D327" s="4"/>
      <c r="E327" s="1"/>
      <c r="F327" s="4"/>
      <c r="G327" s="1"/>
      <c r="H327" s="125"/>
      <c r="I327" s="125"/>
      <c r="J327" s="125"/>
      <c r="K327" s="125"/>
      <c r="L327" s="125">
        <f t="shared" si="4"/>
        <v>23621.209999999995</v>
      </c>
      <c r="M327" s="16"/>
      <c r="N327" s="4"/>
      <c r="P327"/>
      <c r="Q327" s="4"/>
      <c r="R327"/>
      <c r="S327"/>
      <c r="T327"/>
      <c r="U327"/>
      <c r="V327"/>
      <c r="W327"/>
      <c r="X327"/>
      <c r="Y327"/>
    </row>
    <row r="328" spans="1:25" x14ac:dyDescent="0.3">
      <c r="A328" s="182"/>
      <c r="B328" s="201" t="s">
        <v>491</v>
      </c>
      <c r="C328" s="4" t="s">
        <v>58</v>
      </c>
      <c r="D328" s="133" t="s">
        <v>9</v>
      </c>
      <c r="E328" s="1" t="s">
        <v>863</v>
      </c>
      <c r="F328" s="4"/>
      <c r="G328" s="1"/>
      <c r="H328" s="125"/>
      <c r="I328" s="125"/>
      <c r="J328" s="125">
        <v>-100.64</v>
      </c>
      <c r="K328" s="125">
        <v>-100.64</v>
      </c>
      <c r="L328" s="125">
        <f t="shared" si="4"/>
        <v>23520.569999999996</v>
      </c>
      <c r="M328" s="18" t="s">
        <v>90</v>
      </c>
      <c r="N328" s="4"/>
      <c r="P328"/>
      <c r="Q328" s="4"/>
      <c r="R328"/>
      <c r="S328"/>
      <c r="T328"/>
      <c r="U328"/>
      <c r="V328"/>
      <c r="W328"/>
      <c r="X328"/>
      <c r="Y328"/>
    </row>
    <row r="329" spans="1:25" x14ac:dyDescent="0.3">
      <c r="A329" s="3"/>
      <c r="B329" s="201" t="s">
        <v>491</v>
      </c>
      <c r="C329" s="4" t="s">
        <v>533</v>
      </c>
      <c r="D329" s="133" t="s">
        <v>12</v>
      </c>
      <c r="E329" s="1"/>
      <c r="F329" s="4"/>
      <c r="G329" s="1"/>
      <c r="H329" s="125"/>
      <c r="I329" s="125"/>
      <c r="J329" s="125">
        <v>-529.61</v>
      </c>
      <c r="K329" s="125">
        <v>-529.61</v>
      </c>
      <c r="L329" s="125">
        <f t="shared" si="4"/>
        <v>22990.959999999995</v>
      </c>
      <c r="M329" s="18" t="s">
        <v>90</v>
      </c>
      <c r="N329" s="4" t="s">
        <v>892</v>
      </c>
      <c r="O329" s="16" t="s">
        <v>90</v>
      </c>
      <c r="P329"/>
      <c r="Q329" s="4"/>
      <c r="R329"/>
      <c r="S329"/>
      <c r="T329"/>
      <c r="U329"/>
      <c r="V329"/>
      <c r="W329"/>
      <c r="X329"/>
      <c r="Y329"/>
    </row>
    <row r="330" spans="1:25" x14ac:dyDescent="0.3">
      <c r="A330" s="3"/>
      <c r="B330" s="201" t="s">
        <v>491</v>
      </c>
      <c r="C330" s="4" t="s">
        <v>299</v>
      </c>
      <c r="D330" s="133" t="s">
        <v>301</v>
      </c>
      <c r="E330" s="1"/>
      <c r="F330" s="4"/>
      <c r="G330" s="1"/>
      <c r="H330" s="125"/>
      <c r="I330" s="125"/>
      <c r="J330" s="125">
        <v>-35.880000000000003</v>
      </c>
      <c r="K330" s="125">
        <v>-35.880000000000003</v>
      </c>
      <c r="L330" s="125">
        <f t="shared" si="4"/>
        <v>22955.079999999994</v>
      </c>
      <c r="M330" s="18" t="s">
        <v>90</v>
      </c>
      <c r="N330" s="4"/>
      <c r="P330"/>
      <c r="Q330" s="4"/>
      <c r="R330"/>
      <c r="S330"/>
      <c r="T330"/>
      <c r="U330"/>
      <c r="V330"/>
      <c r="W330"/>
      <c r="X330"/>
      <c r="Y330"/>
    </row>
    <row r="331" spans="1:25" x14ac:dyDescent="0.3">
      <c r="A331" s="3"/>
      <c r="B331" s="201" t="s">
        <v>491</v>
      </c>
      <c r="C331" s="4" t="s">
        <v>607</v>
      </c>
      <c r="D331" s="133" t="s">
        <v>11</v>
      </c>
      <c r="E331" s="1"/>
      <c r="F331" s="4"/>
      <c r="G331" s="1"/>
      <c r="H331" s="125"/>
      <c r="I331" s="125"/>
      <c r="J331" s="125">
        <v>-110.2</v>
      </c>
      <c r="K331" s="125">
        <v>-110.2</v>
      </c>
      <c r="L331" s="125">
        <f t="shared" si="4"/>
        <v>22844.879999999994</v>
      </c>
      <c r="M331" s="16" t="s">
        <v>90</v>
      </c>
      <c r="N331" s="4"/>
      <c r="P331"/>
      <c r="Q331" s="4"/>
      <c r="R331"/>
      <c r="S331"/>
      <c r="T331"/>
      <c r="U331"/>
      <c r="V331"/>
      <c r="W331"/>
      <c r="X331"/>
      <c r="Y331"/>
    </row>
    <row r="332" spans="1:25" x14ac:dyDescent="0.3">
      <c r="A332" s="3"/>
      <c r="B332" s="201" t="s">
        <v>491</v>
      </c>
      <c r="C332" s="4" t="s">
        <v>48</v>
      </c>
      <c r="D332" s="133" t="s">
        <v>12</v>
      </c>
      <c r="E332" s="1"/>
      <c r="F332" s="4"/>
      <c r="G332" s="1"/>
      <c r="H332" s="125"/>
      <c r="I332" s="125"/>
      <c r="J332" s="125">
        <v>-89.82</v>
      </c>
      <c r="K332" s="125">
        <v>-89.82</v>
      </c>
      <c r="L332" s="125">
        <f t="shared" si="4"/>
        <v>22755.059999999994</v>
      </c>
      <c r="M332" s="18" t="s">
        <v>90</v>
      </c>
      <c r="N332" s="4"/>
      <c r="P332"/>
      <c r="Q332" s="4"/>
      <c r="R332"/>
      <c r="S332"/>
      <c r="T332"/>
      <c r="U332"/>
      <c r="V332"/>
      <c r="W332"/>
      <c r="X332"/>
      <c r="Y332"/>
    </row>
    <row r="333" spans="1:25" x14ac:dyDescent="0.3">
      <c r="A333" s="3"/>
      <c r="B333" s="201" t="s">
        <v>491</v>
      </c>
      <c r="C333" s="4" t="s">
        <v>864</v>
      </c>
      <c r="D333" s="133" t="s">
        <v>512</v>
      </c>
      <c r="E333" s="1" t="s">
        <v>865</v>
      </c>
      <c r="F333" s="4"/>
      <c r="G333" s="1"/>
      <c r="H333" s="125">
        <v>85</v>
      </c>
      <c r="I333" s="125"/>
      <c r="J333" s="125"/>
      <c r="K333" s="125">
        <v>85</v>
      </c>
      <c r="L333" s="125">
        <f t="shared" si="4"/>
        <v>22840.059999999994</v>
      </c>
      <c r="M333" s="18" t="s">
        <v>572</v>
      </c>
      <c r="N333"/>
      <c r="P333"/>
      <c r="Q333" s="4"/>
      <c r="R333"/>
      <c r="S333"/>
      <c r="T333"/>
      <c r="U333"/>
      <c r="V333"/>
      <c r="W333"/>
      <c r="X333"/>
      <c r="Y333"/>
    </row>
    <row r="334" spans="1:25" x14ac:dyDescent="0.3">
      <c r="A334" s="3"/>
      <c r="B334" s="201" t="s">
        <v>491</v>
      </c>
      <c r="C334" s="4" t="s">
        <v>868</v>
      </c>
      <c r="D334" s="133" t="s">
        <v>518</v>
      </c>
      <c r="E334" s="1"/>
      <c r="F334" s="4"/>
      <c r="G334" s="1"/>
      <c r="H334" s="125"/>
      <c r="I334" s="125"/>
      <c r="J334" s="125">
        <v>-179.52</v>
      </c>
      <c r="K334" s="125">
        <v>-179.52</v>
      </c>
      <c r="L334" s="125">
        <f t="shared" si="4"/>
        <v>22660.539999999994</v>
      </c>
      <c r="M334" s="18" t="s">
        <v>90</v>
      </c>
      <c r="N334"/>
      <c r="P334"/>
      <c r="Q334" s="4"/>
      <c r="R334"/>
      <c r="S334" s="125"/>
      <c r="T334"/>
      <c r="U334"/>
      <c r="V334"/>
      <c r="W334"/>
      <c r="X334"/>
      <c r="Y334"/>
    </row>
    <row r="335" spans="1:25" x14ac:dyDescent="0.3">
      <c r="A335" s="3"/>
      <c r="B335" s="201" t="s">
        <v>491</v>
      </c>
      <c r="C335" s="4" t="s">
        <v>234</v>
      </c>
      <c r="D335" s="133" t="s">
        <v>518</v>
      </c>
      <c r="E335" s="1"/>
      <c r="F335" s="4"/>
      <c r="G335" s="1"/>
      <c r="H335" s="125"/>
      <c r="I335" s="125"/>
      <c r="J335" s="125">
        <v>-31.2</v>
      </c>
      <c r="K335" s="125">
        <v>-31.2</v>
      </c>
      <c r="L335" s="125">
        <f t="shared" si="4"/>
        <v>22629.339999999993</v>
      </c>
      <c r="M335" s="18" t="s">
        <v>90</v>
      </c>
      <c r="N335"/>
      <c r="P335"/>
      <c r="Q335" s="4"/>
      <c r="R335"/>
      <c r="S335" s="125"/>
      <c r="T335"/>
      <c r="U335"/>
      <c r="V335"/>
      <c r="W335"/>
      <c r="X335"/>
      <c r="Y335"/>
    </row>
    <row r="336" spans="1:25" x14ac:dyDescent="0.3">
      <c r="A336" s="3"/>
      <c r="B336" s="201" t="s">
        <v>491</v>
      </c>
      <c r="C336" s="4" t="s">
        <v>451</v>
      </c>
      <c r="D336" s="133" t="s">
        <v>513</v>
      </c>
      <c r="E336" s="1" t="s">
        <v>745</v>
      </c>
      <c r="F336" s="4"/>
      <c r="G336" s="1"/>
      <c r="H336" s="190">
        <v>171.5</v>
      </c>
      <c r="I336" s="125"/>
      <c r="J336" s="125"/>
      <c r="K336" s="125">
        <v>171.5</v>
      </c>
      <c r="L336" s="125">
        <f t="shared" si="4"/>
        <v>22800.839999999993</v>
      </c>
      <c r="M336" s="16" t="s">
        <v>587</v>
      </c>
      <c r="N336"/>
      <c r="P336"/>
      <c r="Q336" s="4"/>
      <c r="R336"/>
      <c r="S336"/>
      <c r="T336"/>
      <c r="U336"/>
      <c r="V336"/>
      <c r="W336"/>
      <c r="X336"/>
      <c r="Y336"/>
    </row>
    <row r="337" spans="1:25" x14ac:dyDescent="0.3">
      <c r="A337" s="3"/>
      <c r="B337" s="201" t="s">
        <v>491</v>
      </c>
      <c r="C337" s="4" t="s">
        <v>615</v>
      </c>
      <c r="D337" s="133" t="s">
        <v>513</v>
      </c>
      <c r="E337" s="1" t="s">
        <v>745</v>
      </c>
      <c r="F337" s="4"/>
      <c r="G337" s="1"/>
      <c r="H337" s="190">
        <v>171.5</v>
      </c>
      <c r="I337" s="125"/>
      <c r="J337" s="125"/>
      <c r="K337" s="125">
        <v>171.5</v>
      </c>
      <c r="L337" s="125">
        <f t="shared" si="4"/>
        <v>22972.339999999993</v>
      </c>
      <c r="M337" s="16" t="s">
        <v>587</v>
      </c>
      <c r="N337"/>
      <c r="P337"/>
      <c r="Q337" s="4"/>
      <c r="R337"/>
      <c r="S337"/>
      <c r="T337"/>
      <c r="U337"/>
      <c r="V337"/>
      <c r="W337"/>
      <c r="X337"/>
      <c r="Y337"/>
    </row>
    <row r="338" spans="1:25" x14ac:dyDescent="0.3">
      <c r="A338" s="174"/>
      <c r="B338" s="201" t="s">
        <v>491</v>
      </c>
      <c r="C338" s="4" t="s">
        <v>615</v>
      </c>
      <c r="D338" s="133" t="s">
        <v>513</v>
      </c>
      <c r="E338" s="1" t="s">
        <v>835</v>
      </c>
      <c r="F338" s="4"/>
      <c r="G338" s="1"/>
      <c r="H338" s="190">
        <v>171.5</v>
      </c>
      <c r="I338" s="125"/>
      <c r="J338" s="125"/>
      <c r="K338" s="125">
        <v>171.5</v>
      </c>
      <c r="L338" s="125">
        <f t="shared" si="4"/>
        <v>23143.839999999993</v>
      </c>
      <c r="M338" s="16" t="s">
        <v>587</v>
      </c>
      <c r="N338"/>
      <c r="P338"/>
      <c r="Q338" s="4"/>
      <c r="R338"/>
      <c r="S338"/>
      <c r="T338"/>
      <c r="U338"/>
      <c r="V338"/>
      <c r="W338"/>
      <c r="X338"/>
      <c r="Y338"/>
    </row>
    <row r="339" spans="1:25" x14ac:dyDescent="0.3">
      <c r="A339" s="174"/>
      <c r="B339" s="201" t="s">
        <v>491</v>
      </c>
      <c r="C339" s="4" t="s">
        <v>869</v>
      </c>
      <c r="D339" s="133" t="s">
        <v>518</v>
      </c>
      <c r="E339" s="1" t="s">
        <v>870</v>
      </c>
      <c r="F339" s="4"/>
      <c r="G339" s="1">
        <v>500133</v>
      </c>
      <c r="H339" s="125"/>
      <c r="I339" s="125"/>
      <c r="J339" s="125">
        <v>-74.400000000000006</v>
      </c>
      <c r="K339" s="125">
        <v>-74.400000000000006</v>
      </c>
      <c r="L339" s="125">
        <f t="shared" si="4"/>
        <v>23069.439999999991</v>
      </c>
      <c r="M339" s="18" t="s">
        <v>90</v>
      </c>
      <c r="N339"/>
      <c r="P339"/>
      <c r="Q339" s="4"/>
      <c r="R339"/>
      <c r="S339" s="30" t="s">
        <v>886</v>
      </c>
      <c r="T339" s="30"/>
      <c r="U339" s="30"/>
      <c r="V339" s="30"/>
      <c r="W339"/>
      <c r="X339"/>
      <c r="Y339"/>
    </row>
    <row r="340" spans="1:25" x14ac:dyDescent="0.3">
      <c r="A340" s="3"/>
      <c r="B340" s="201" t="s">
        <v>491</v>
      </c>
      <c r="C340" s="4" t="s">
        <v>871</v>
      </c>
      <c r="D340" s="133" t="s">
        <v>513</v>
      </c>
      <c r="E340" s="1"/>
      <c r="F340" s="4"/>
      <c r="G340" s="1"/>
      <c r="H340" s="190">
        <v>254.8</v>
      </c>
      <c r="I340" s="125"/>
      <c r="J340" s="125"/>
      <c r="K340" s="125">
        <v>254.8</v>
      </c>
      <c r="L340" s="125">
        <f t="shared" si="4"/>
        <v>23324.239999999991</v>
      </c>
      <c r="M340" s="18" t="s">
        <v>90</v>
      </c>
      <c r="N340"/>
      <c r="P340"/>
      <c r="Q340" s="4"/>
      <c r="R340"/>
      <c r="S340"/>
      <c r="T340"/>
      <c r="U340"/>
      <c r="V340"/>
      <c r="W340"/>
      <c r="X340"/>
      <c r="Y340"/>
    </row>
    <row r="341" spans="1:25" x14ac:dyDescent="0.3">
      <c r="A341" s="3"/>
      <c r="B341" s="201" t="s">
        <v>491</v>
      </c>
      <c r="C341" s="4" t="s">
        <v>872</v>
      </c>
      <c r="D341" s="133" t="s">
        <v>512</v>
      </c>
      <c r="E341" s="1" t="s">
        <v>875</v>
      </c>
      <c r="F341"/>
      <c r="G341" s="1"/>
      <c r="H341" s="125">
        <v>8</v>
      </c>
      <c r="I341" s="125"/>
      <c r="J341" s="125"/>
      <c r="K341" s="125">
        <v>8</v>
      </c>
      <c r="L341" s="125">
        <f t="shared" si="4"/>
        <v>23332.239999999991</v>
      </c>
      <c r="M341" s="18" t="s">
        <v>90</v>
      </c>
      <c r="N341"/>
      <c r="P341"/>
      <c r="Q341" s="4"/>
      <c r="R341"/>
      <c r="S341" t="s">
        <v>584</v>
      </c>
      <c r="T341"/>
      <c r="U341"/>
      <c r="V341"/>
      <c r="W341">
        <v>24286.93</v>
      </c>
      <c r="X341"/>
      <c r="Y341"/>
    </row>
    <row r="342" spans="1:25" x14ac:dyDescent="0.3">
      <c r="A342" s="182"/>
      <c r="B342" s="201" t="s">
        <v>491</v>
      </c>
      <c r="C342" s="237" t="s">
        <v>604</v>
      </c>
      <c r="D342" s="133" t="s">
        <v>512</v>
      </c>
      <c r="E342" s="1"/>
      <c r="F342" s="16"/>
      <c r="G342" s="1"/>
      <c r="H342" s="125">
        <v>51</v>
      </c>
      <c r="I342" s="125"/>
      <c r="J342" s="125"/>
      <c r="K342" s="125">
        <v>51</v>
      </c>
      <c r="L342" s="125">
        <f t="shared" si="4"/>
        <v>23383.239999999991</v>
      </c>
      <c r="M342" s="16" t="s">
        <v>572</v>
      </c>
      <c r="N342"/>
      <c r="P342"/>
      <c r="Q342" s="4"/>
      <c r="R342"/>
      <c r="S342"/>
      <c r="T342"/>
      <c r="U342"/>
      <c r="V342"/>
      <c r="W342"/>
      <c r="X342"/>
      <c r="Y342"/>
    </row>
    <row r="343" spans="1:25" x14ac:dyDescent="0.3">
      <c r="A343" s="182"/>
      <c r="B343" s="201" t="s">
        <v>491</v>
      </c>
      <c r="C343" s="4" t="s">
        <v>873</v>
      </c>
      <c r="D343" s="133" t="s">
        <v>512</v>
      </c>
      <c r="E343" s="1">
        <v>2.1818181818181817</v>
      </c>
      <c r="F343" s="4"/>
      <c r="G343" s="1"/>
      <c r="H343" s="125">
        <v>51</v>
      </c>
      <c r="I343" s="125"/>
      <c r="J343" s="125"/>
      <c r="K343" s="125">
        <v>51</v>
      </c>
      <c r="L343" s="125">
        <f t="shared" si="4"/>
        <v>23434.239999999991</v>
      </c>
      <c r="M343" s="18" t="s">
        <v>90</v>
      </c>
      <c r="N343" s="16"/>
      <c r="P343"/>
      <c r="Q343" s="4"/>
      <c r="R343"/>
      <c r="S343" t="s">
        <v>650</v>
      </c>
      <c r="T343"/>
      <c r="U343"/>
      <c r="V343" s="125"/>
      <c r="W343"/>
      <c r="X343"/>
      <c r="Y343"/>
    </row>
    <row r="344" spans="1:25" x14ac:dyDescent="0.3">
      <c r="A344" s="174"/>
      <c r="B344" s="201" t="s">
        <v>491</v>
      </c>
      <c r="C344" s="4" t="s">
        <v>873</v>
      </c>
      <c r="D344" s="133" t="s">
        <v>500</v>
      </c>
      <c r="E344" s="191" t="s">
        <v>874</v>
      </c>
      <c r="F344" s="4"/>
      <c r="G344" s="193"/>
      <c r="H344" s="192">
        <v>50</v>
      </c>
      <c r="I344" s="125"/>
      <c r="J344" s="125"/>
      <c r="K344" s="125">
        <v>50</v>
      </c>
      <c r="L344" s="125">
        <f t="shared" si="4"/>
        <v>23484.239999999991</v>
      </c>
      <c r="M344" s="16" t="s">
        <v>90</v>
      </c>
      <c r="N344" s="16"/>
      <c r="P344"/>
      <c r="Q344" s="4"/>
      <c r="R344"/>
      <c r="S344" t="s">
        <v>895</v>
      </c>
      <c r="T344"/>
      <c r="U344"/>
      <c r="V344"/>
      <c r="W344">
        <v>152</v>
      </c>
      <c r="X344"/>
      <c r="Y344"/>
    </row>
    <row r="345" spans="1:25" x14ac:dyDescent="0.3">
      <c r="A345" s="174"/>
      <c r="B345" s="201" t="s">
        <v>491</v>
      </c>
      <c r="C345" s="4" t="s">
        <v>876</v>
      </c>
      <c r="D345" s="133" t="s">
        <v>504</v>
      </c>
      <c r="E345" s="191" t="s">
        <v>877</v>
      </c>
      <c r="F345"/>
      <c r="G345" s="1">
        <v>500195</v>
      </c>
      <c r="H345" s="125"/>
      <c r="I345" s="125"/>
      <c r="J345" s="192">
        <v>-100</v>
      </c>
      <c r="K345" s="125">
        <v>-100</v>
      </c>
      <c r="L345" s="125">
        <f t="shared" si="4"/>
        <v>23384.239999999991</v>
      </c>
      <c r="M345" s="18" t="s">
        <v>90</v>
      </c>
      <c r="N345"/>
      <c r="P345"/>
      <c r="Q345" s="4"/>
      <c r="R345"/>
      <c r="S345"/>
      <c r="T345"/>
      <c r="U345"/>
      <c r="V345" s="125"/>
      <c r="W345"/>
      <c r="X345"/>
      <c r="Y345"/>
    </row>
    <row r="346" spans="1:25" x14ac:dyDescent="0.3">
      <c r="A346" s="174"/>
      <c r="B346" s="201" t="s">
        <v>491</v>
      </c>
      <c r="C346" s="4" t="s">
        <v>450</v>
      </c>
      <c r="D346" s="133" t="s">
        <v>514</v>
      </c>
      <c r="E346" s="1"/>
      <c r="F346"/>
      <c r="G346" s="1"/>
      <c r="H346" s="125">
        <v>285</v>
      </c>
      <c r="I346" s="125" t="s">
        <v>927</v>
      </c>
      <c r="J346" s="125"/>
      <c r="K346" s="125">
        <v>285</v>
      </c>
      <c r="L346" s="125">
        <f t="shared" si="4"/>
        <v>23669.239999999991</v>
      </c>
      <c r="M346" s="16" t="s">
        <v>412</v>
      </c>
      <c r="N346"/>
      <c r="P346"/>
      <c r="Q346" s="4"/>
      <c r="R346"/>
      <c r="S346" t="s">
        <v>586</v>
      </c>
      <c r="T346"/>
      <c r="U346"/>
      <c r="V346"/>
      <c r="W346"/>
      <c r="X346"/>
      <c r="Y346"/>
    </row>
    <row r="347" spans="1:25" x14ac:dyDescent="0.3">
      <c r="A347" s="3"/>
      <c r="B347" s="201" t="s">
        <v>491</v>
      </c>
      <c r="C347" s="4" t="s">
        <v>878</v>
      </c>
      <c r="D347" s="133" t="s">
        <v>514</v>
      </c>
      <c r="E347" s="1"/>
      <c r="F347" s="4"/>
      <c r="G347" s="1"/>
      <c r="H347" s="125">
        <v>126</v>
      </c>
      <c r="I347" s="125" t="s">
        <v>927</v>
      </c>
      <c r="J347" s="125"/>
      <c r="K347" s="125">
        <v>126</v>
      </c>
      <c r="L347" s="125">
        <f t="shared" si="4"/>
        <v>23795.239999999991</v>
      </c>
      <c r="M347" s="18" t="s">
        <v>412</v>
      </c>
      <c r="N347"/>
      <c r="P347"/>
      <c r="Q347" s="4"/>
      <c r="R347"/>
      <c r="S347"/>
      <c r="T347"/>
      <c r="U347"/>
      <c r="V347"/>
      <c r="W347"/>
      <c r="X347"/>
      <c r="Y347"/>
    </row>
    <row r="348" spans="1:25" x14ac:dyDescent="0.3">
      <c r="A348" s="3"/>
      <c r="B348" s="201" t="s">
        <v>491</v>
      </c>
      <c r="C348" s="4" t="s">
        <v>743</v>
      </c>
      <c r="D348" s="133" t="s">
        <v>512</v>
      </c>
      <c r="E348" s="1"/>
      <c r="F348" s="4"/>
      <c r="G348" s="1"/>
      <c r="H348" s="125">
        <v>8</v>
      </c>
      <c r="I348" s="125"/>
      <c r="J348" s="125"/>
      <c r="K348" s="125">
        <v>8</v>
      </c>
      <c r="L348" s="125">
        <f t="shared" si="4"/>
        <v>23803.239999999991</v>
      </c>
      <c r="M348" s="18" t="s">
        <v>587</v>
      </c>
      <c r="N348"/>
      <c r="P348"/>
      <c r="Q348" s="4"/>
      <c r="R348"/>
      <c r="S348"/>
      <c r="T348"/>
      <c r="U348"/>
      <c r="V348" s="125"/>
      <c r="W348"/>
      <c r="X348"/>
      <c r="Y348"/>
    </row>
    <row r="349" spans="1:25" x14ac:dyDescent="0.3">
      <c r="A349" s="3"/>
      <c r="B349" s="201" t="s">
        <v>491</v>
      </c>
      <c r="C349" s="4" t="s">
        <v>879</v>
      </c>
      <c r="D349" s="133" t="s">
        <v>512</v>
      </c>
      <c r="E349" s="1"/>
      <c r="F349" s="4"/>
      <c r="G349" s="1"/>
      <c r="H349" s="125">
        <v>12</v>
      </c>
      <c r="I349" s="125"/>
      <c r="J349" s="125"/>
      <c r="K349" s="125">
        <v>12</v>
      </c>
      <c r="L349" s="125">
        <f t="shared" si="4"/>
        <v>23815.239999999991</v>
      </c>
      <c r="M349" s="18" t="s">
        <v>587</v>
      </c>
      <c r="N349"/>
      <c r="P349"/>
      <c r="Q349" s="4"/>
      <c r="R349"/>
      <c r="S349"/>
      <c r="T349"/>
      <c r="U349"/>
      <c r="V349" s="125"/>
      <c r="W349" s="125"/>
      <c r="X349"/>
      <c r="Y349"/>
    </row>
    <row r="350" spans="1:25" x14ac:dyDescent="0.3">
      <c r="A350" s="174"/>
      <c r="B350" s="201" t="s">
        <v>491</v>
      </c>
      <c r="C350" s="4" t="s">
        <v>882</v>
      </c>
      <c r="D350" s="133" t="s">
        <v>512</v>
      </c>
      <c r="E350" s="1" t="s">
        <v>880</v>
      </c>
      <c r="F350"/>
      <c r="G350" s="1"/>
      <c r="H350" s="125">
        <v>42.5</v>
      </c>
      <c r="I350" s="125"/>
      <c r="J350" s="125"/>
      <c r="K350" s="125">
        <v>42.5</v>
      </c>
      <c r="L350" s="125">
        <f t="shared" si="4"/>
        <v>23857.739999999991</v>
      </c>
      <c r="M350" s="18" t="s">
        <v>587</v>
      </c>
      <c r="N350" s="16"/>
      <c r="P350"/>
      <c r="Q350" s="4"/>
      <c r="R350"/>
      <c r="S350">
        <v>500753</v>
      </c>
      <c r="T350"/>
      <c r="U350"/>
      <c r="V350" s="125">
        <v>-100</v>
      </c>
      <c r="W350" t="s">
        <v>90</v>
      </c>
      <c r="X350"/>
      <c r="Y350"/>
    </row>
    <row r="351" spans="1:25" x14ac:dyDescent="0.3">
      <c r="A351" s="3"/>
      <c r="B351" s="201" t="s">
        <v>491</v>
      </c>
      <c r="C351" s="4" t="s">
        <v>882</v>
      </c>
      <c r="D351" s="133" t="s">
        <v>500</v>
      </c>
      <c r="E351" s="191" t="s">
        <v>881</v>
      </c>
      <c r="F351" s="4"/>
      <c r="G351" s="207" t="s">
        <v>324</v>
      </c>
      <c r="H351" s="192">
        <v>50</v>
      </c>
      <c r="I351" s="125"/>
      <c r="J351" s="125"/>
      <c r="K351" s="125">
        <v>50</v>
      </c>
      <c r="L351" s="125">
        <f t="shared" ref="L351:L387" si="5">+L350+K351</f>
        <v>23907.739999999991</v>
      </c>
      <c r="M351" s="18" t="s">
        <v>587</v>
      </c>
      <c r="N351"/>
      <c r="P351"/>
      <c r="Q351" s="4"/>
      <c r="R351"/>
      <c r="S351" t="s">
        <v>894</v>
      </c>
      <c r="T351"/>
      <c r="U351"/>
      <c r="V351" s="125">
        <v>-234</v>
      </c>
      <c r="W351" s="125" t="s">
        <v>925</v>
      </c>
      <c r="X351"/>
      <c r="Y351"/>
    </row>
    <row r="352" spans="1:25" x14ac:dyDescent="0.3">
      <c r="A352" s="3"/>
      <c r="B352" s="201" t="s">
        <v>491</v>
      </c>
      <c r="C352" s="4" t="s">
        <v>883</v>
      </c>
      <c r="D352" s="133" t="s">
        <v>512</v>
      </c>
      <c r="E352" s="1" t="s">
        <v>885</v>
      </c>
      <c r="F352" s="4"/>
      <c r="G352" s="1"/>
      <c r="H352" s="125">
        <v>68</v>
      </c>
      <c r="I352" s="125"/>
      <c r="J352" s="125"/>
      <c r="K352" s="125">
        <v>68</v>
      </c>
      <c r="L352" s="125">
        <f t="shared" si="5"/>
        <v>23975.739999999991</v>
      </c>
      <c r="M352" s="18" t="s">
        <v>412</v>
      </c>
      <c r="N352"/>
      <c r="P352"/>
      <c r="Q352" s="4"/>
      <c r="R352"/>
      <c r="S352">
        <v>500194</v>
      </c>
      <c r="T352"/>
      <c r="U352"/>
      <c r="V352" s="125">
        <v>-50</v>
      </c>
      <c r="W352"/>
      <c r="X352"/>
      <c r="Y352"/>
    </row>
    <row r="353" spans="1:25" x14ac:dyDescent="0.3">
      <c r="A353" s="3"/>
      <c r="B353" s="201" t="s">
        <v>491</v>
      </c>
      <c r="C353" s="4" t="s">
        <v>883</v>
      </c>
      <c r="D353" s="133" t="s">
        <v>500</v>
      </c>
      <c r="E353" s="191" t="s">
        <v>884</v>
      </c>
      <c r="F353" s="4"/>
      <c r="G353" s="193"/>
      <c r="H353" s="192">
        <v>100</v>
      </c>
      <c r="I353" s="125"/>
      <c r="J353" s="125"/>
      <c r="K353" s="125">
        <v>100</v>
      </c>
      <c r="L353" s="125">
        <f t="shared" si="5"/>
        <v>24075.739999999991</v>
      </c>
      <c r="M353" s="18" t="s">
        <v>412</v>
      </c>
      <c r="N353"/>
      <c r="P353"/>
      <c r="Q353" s="4"/>
      <c r="R353"/>
      <c r="S353">
        <v>500195</v>
      </c>
      <c r="T353"/>
      <c r="U353"/>
      <c r="V353" s="125">
        <v>-100</v>
      </c>
      <c r="W353" t="s">
        <v>90</v>
      </c>
      <c r="X353"/>
      <c r="Y353"/>
    </row>
    <row r="354" spans="1:25" x14ac:dyDescent="0.3">
      <c r="A354" s="3"/>
      <c r="B354" s="201" t="s">
        <v>491</v>
      </c>
      <c r="C354" s="4" t="s">
        <v>806</v>
      </c>
      <c r="D354" s="133" t="s">
        <v>623</v>
      </c>
      <c r="E354" s="1" t="s">
        <v>887</v>
      </c>
      <c r="F354" s="205"/>
      <c r="G354" s="1">
        <v>500131</v>
      </c>
      <c r="H354" s="125"/>
      <c r="I354" s="125"/>
      <c r="J354" s="125">
        <v>25</v>
      </c>
      <c r="K354" s="125">
        <v>25</v>
      </c>
      <c r="L354" s="125">
        <f t="shared" si="5"/>
        <v>24100.739999999991</v>
      </c>
      <c r="M354" s="18" t="s">
        <v>572</v>
      </c>
      <c r="N354"/>
      <c r="P354"/>
      <c r="Q354" s="4"/>
      <c r="R354"/>
      <c r="S354">
        <v>500197</v>
      </c>
      <c r="T354"/>
      <c r="U354"/>
      <c r="V354" s="125">
        <v>-50</v>
      </c>
      <c r="W354" s="125" t="s">
        <v>925</v>
      </c>
      <c r="X354"/>
      <c r="Y354"/>
    </row>
    <row r="355" spans="1:25" x14ac:dyDescent="0.3">
      <c r="A355" s="3"/>
      <c r="B355" s="201" t="s">
        <v>491</v>
      </c>
      <c r="C355" s="4" t="s">
        <v>816</v>
      </c>
      <c r="D355" s="133" t="s">
        <v>504</v>
      </c>
      <c r="E355" s="191" t="s">
        <v>889</v>
      </c>
      <c r="F355" s="4"/>
      <c r="G355" s="1">
        <v>500196</v>
      </c>
      <c r="H355" s="125"/>
      <c r="I355" s="125"/>
      <c r="J355" s="192">
        <v>-50</v>
      </c>
      <c r="K355" s="125">
        <v>-50</v>
      </c>
      <c r="L355" s="125">
        <f t="shared" si="5"/>
        <v>24050.739999999991</v>
      </c>
      <c r="M355" s="18" t="s">
        <v>90</v>
      </c>
      <c r="N355"/>
      <c r="P355"/>
      <c r="Q355" s="4"/>
      <c r="R355"/>
      <c r="S355">
        <v>500198</v>
      </c>
      <c r="T355"/>
      <c r="U355"/>
      <c r="V355" s="125">
        <v>-393.38</v>
      </c>
      <c r="W355" t="s">
        <v>90</v>
      </c>
      <c r="X355"/>
      <c r="Y355"/>
    </row>
    <row r="356" spans="1:25" x14ac:dyDescent="0.3">
      <c r="A356" s="3"/>
      <c r="B356" s="201" t="s">
        <v>491</v>
      </c>
      <c r="C356" s="4" t="s">
        <v>873</v>
      </c>
      <c r="D356" s="133" t="s">
        <v>504</v>
      </c>
      <c r="E356" s="191" t="s">
        <v>888</v>
      </c>
      <c r="F356" s="4"/>
      <c r="G356" s="1">
        <v>500197</v>
      </c>
      <c r="H356" s="125"/>
      <c r="I356" s="125"/>
      <c r="J356" s="192">
        <v>-50</v>
      </c>
      <c r="K356" s="125">
        <v>-50</v>
      </c>
      <c r="L356" s="125">
        <f t="shared" si="5"/>
        <v>24000.739999999991</v>
      </c>
      <c r="M356" s="18" t="s">
        <v>90</v>
      </c>
      <c r="N356"/>
      <c r="P356"/>
      <c r="Q356" s="4"/>
      <c r="R356"/>
      <c r="S356"/>
      <c r="T356"/>
      <c r="U356"/>
      <c r="V356"/>
      <c r="W356"/>
      <c r="X356"/>
      <c r="Y356"/>
    </row>
    <row r="357" spans="1:25" x14ac:dyDescent="0.3">
      <c r="A357" s="3"/>
      <c r="B357" s="201" t="s">
        <v>491</v>
      </c>
      <c r="C357" s="4" t="s">
        <v>234</v>
      </c>
      <c r="D357" s="133" t="s">
        <v>514</v>
      </c>
      <c r="E357" s="1"/>
      <c r="F357" s="4"/>
      <c r="G357" s="1" t="s">
        <v>523</v>
      </c>
      <c r="H357" s="125"/>
      <c r="I357" s="125"/>
      <c r="J357" s="125">
        <v>-49.32</v>
      </c>
      <c r="K357" s="125">
        <v>-49.32</v>
      </c>
      <c r="L357" s="125">
        <f t="shared" si="5"/>
        <v>23951.419999999991</v>
      </c>
      <c r="M357" s="18" t="s">
        <v>412</v>
      </c>
      <c r="N357" t="s">
        <v>890</v>
      </c>
      <c r="O357"/>
      <c r="P357"/>
      <c r="Q357" s="4"/>
      <c r="R357"/>
      <c r="S357"/>
      <c r="T357"/>
      <c r="U357"/>
      <c r="V357"/>
      <c r="W357"/>
      <c r="X357"/>
      <c r="Y357"/>
    </row>
    <row r="358" spans="1:25" x14ac:dyDescent="0.3">
      <c r="A358" s="28"/>
      <c r="B358" s="201" t="s">
        <v>491</v>
      </c>
      <c r="C358" s="4" t="s">
        <v>234</v>
      </c>
      <c r="D358" s="133" t="s">
        <v>12</v>
      </c>
      <c r="E358" s="1"/>
      <c r="F358" s="4"/>
      <c r="G358" s="1" t="s">
        <v>523</v>
      </c>
      <c r="H358" s="125"/>
      <c r="I358" s="125"/>
      <c r="J358" s="125">
        <v>-11.49</v>
      </c>
      <c r="K358" s="125">
        <v>-11.49</v>
      </c>
      <c r="L358" s="125">
        <f t="shared" si="5"/>
        <v>23939.929999999989</v>
      </c>
      <c r="M358" s="16" t="s">
        <v>412</v>
      </c>
      <c r="N358"/>
      <c r="P358"/>
      <c r="Q358" s="4"/>
      <c r="R358"/>
      <c r="S358"/>
      <c r="T358"/>
      <c r="U358"/>
      <c r="V358"/>
      <c r="W358" s="125">
        <v>-927.38</v>
      </c>
      <c r="X358"/>
      <c r="Y358"/>
    </row>
    <row r="359" spans="1:25" x14ac:dyDescent="0.3">
      <c r="A359" s="28"/>
      <c r="B359" s="201" t="s">
        <v>491</v>
      </c>
      <c r="C359" s="4" t="s">
        <v>850</v>
      </c>
      <c r="D359" s="133" t="s">
        <v>504</v>
      </c>
      <c r="E359" s="191" t="s">
        <v>891</v>
      </c>
      <c r="F359" s="4"/>
      <c r="G359" s="1"/>
      <c r="H359" s="125"/>
      <c r="I359" s="125"/>
      <c r="J359" s="192">
        <v>-50</v>
      </c>
      <c r="K359" s="125">
        <v>-50</v>
      </c>
      <c r="L359" s="125">
        <f t="shared" si="5"/>
        <v>23889.929999999989</v>
      </c>
      <c r="M359" s="16" t="s">
        <v>90</v>
      </c>
      <c r="N359"/>
      <c r="P359"/>
      <c r="Q359" s="4"/>
      <c r="R359"/>
      <c r="S359"/>
      <c r="T359"/>
      <c r="U359"/>
      <c r="V359"/>
      <c r="W359"/>
      <c r="X359"/>
      <c r="Y359"/>
    </row>
    <row r="360" spans="1:25" x14ac:dyDescent="0.3">
      <c r="A360" s="28"/>
      <c r="B360" s="201" t="s">
        <v>491</v>
      </c>
      <c r="C360" s="4" t="s">
        <v>444</v>
      </c>
      <c r="D360" s="133" t="s">
        <v>518</v>
      </c>
      <c r="E360" s="1"/>
      <c r="F360" s="4"/>
      <c r="G360" s="1">
        <v>500198</v>
      </c>
      <c r="H360" s="125"/>
      <c r="I360" s="125"/>
      <c r="J360" s="125">
        <v>-393.38</v>
      </c>
      <c r="K360" s="125">
        <v>-393.38</v>
      </c>
      <c r="L360" s="125">
        <f t="shared" si="5"/>
        <v>23496.549999999988</v>
      </c>
      <c r="M360" s="16" t="s">
        <v>90</v>
      </c>
      <c r="N360"/>
      <c r="P360"/>
      <c r="Q360" s="4"/>
      <c r="R360"/>
      <c r="S360" t="s">
        <v>652</v>
      </c>
      <c r="T360"/>
      <c r="U360"/>
      <c r="V360"/>
      <c r="W360" s="23">
        <v>23511.55</v>
      </c>
      <c r="X360"/>
      <c r="Y360" t="s">
        <v>588</v>
      </c>
    </row>
    <row r="361" spans="1:25" x14ac:dyDescent="0.3">
      <c r="A361" s="28"/>
      <c r="B361" s="201" t="s">
        <v>491</v>
      </c>
      <c r="C361" s="4" t="s">
        <v>896</v>
      </c>
      <c r="D361" s="133" t="s">
        <v>518</v>
      </c>
      <c r="E361" s="1"/>
      <c r="F361" s="4"/>
      <c r="G361" s="1"/>
      <c r="H361" s="125">
        <v>15</v>
      </c>
      <c r="I361" s="125"/>
      <c r="J361" s="125"/>
      <c r="K361" s="125">
        <v>15</v>
      </c>
      <c r="L361" s="125">
        <f t="shared" si="5"/>
        <v>23511.549999999988</v>
      </c>
      <c r="M361" s="16" t="s">
        <v>587</v>
      </c>
      <c r="N361"/>
      <c r="P361"/>
      <c r="Q361" s="4"/>
      <c r="R361"/>
      <c r="S361" s="125"/>
      <c r="T361"/>
      <c r="U361"/>
      <c r="V361"/>
      <c r="W361"/>
      <c r="X361"/>
      <c r="Y361"/>
    </row>
    <row r="362" spans="1:25" x14ac:dyDescent="0.3">
      <c r="A362" s="28" t="s">
        <v>83</v>
      </c>
      <c r="B362" s="187"/>
      <c r="C362" s="4"/>
      <c r="D362" s="4"/>
      <c r="E362" s="1"/>
      <c r="F362" s="4"/>
      <c r="G362" s="1"/>
      <c r="H362" s="125"/>
      <c r="I362" s="125"/>
      <c r="J362" s="125"/>
      <c r="K362" s="125"/>
      <c r="L362" s="125">
        <f t="shared" si="5"/>
        <v>23511.549999999988</v>
      </c>
      <c r="N362"/>
      <c r="P362"/>
      <c r="Q362" s="4"/>
      <c r="R362"/>
      <c r="S362" s="125"/>
      <c r="T362"/>
      <c r="U362"/>
      <c r="V362"/>
      <c r="W362"/>
      <c r="X362"/>
      <c r="Y362"/>
    </row>
    <row r="363" spans="1:25" x14ac:dyDescent="0.3">
      <c r="A363" s="3"/>
      <c r="B363" s="187" t="s">
        <v>492</v>
      </c>
      <c r="C363" s="4" t="s">
        <v>561</v>
      </c>
      <c r="D363" s="133" t="s">
        <v>513</v>
      </c>
      <c r="E363" s="1"/>
      <c r="F363" s="4"/>
      <c r="G363" s="1"/>
      <c r="H363" s="190">
        <v>156.80000000000001</v>
      </c>
      <c r="I363" s="125"/>
      <c r="J363" s="125"/>
      <c r="K363" s="125">
        <v>156.80000000000001</v>
      </c>
      <c r="L363" s="125">
        <f t="shared" si="5"/>
        <v>23668.349999999988</v>
      </c>
      <c r="M363" s="16" t="s">
        <v>412</v>
      </c>
      <c r="N363"/>
      <c r="P363"/>
      <c r="Q363" s="4"/>
      <c r="R363"/>
      <c r="S363" s="125"/>
      <c r="T363"/>
      <c r="U363"/>
      <c r="V363"/>
      <c r="W363"/>
      <c r="X363"/>
      <c r="Y363"/>
    </row>
    <row r="364" spans="1:25" x14ac:dyDescent="0.3">
      <c r="A364" s="3"/>
      <c r="B364" s="187" t="s">
        <v>492</v>
      </c>
      <c r="C364" s="4" t="s">
        <v>561</v>
      </c>
      <c r="D364" s="133" t="s">
        <v>513</v>
      </c>
      <c r="E364" s="1"/>
      <c r="F364"/>
      <c r="G364" s="1"/>
      <c r="H364" s="190">
        <v>171.5</v>
      </c>
      <c r="I364" s="125"/>
      <c r="J364" s="125"/>
      <c r="K364" s="125">
        <v>171.5</v>
      </c>
      <c r="L364" s="125">
        <f t="shared" si="5"/>
        <v>23839.849999999988</v>
      </c>
      <c r="M364" s="16" t="s">
        <v>412</v>
      </c>
      <c r="N364"/>
      <c r="P364"/>
      <c r="Q364" s="4"/>
      <c r="R364"/>
      <c r="S364" s="125"/>
      <c r="T364"/>
      <c r="U364"/>
      <c r="V364"/>
      <c r="W364"/>
      <c r="X364"/>
      <c r="Y364"/>
    </row>
    <row r="365" spans="1:25" x14ac:dyDescent="0.3">
      <c r="A365" s="182"/>
      <c r="B365" s="187" t="s">
        <v>492</v>
      </c>
      <c r="C365" s="4" t="s">
        <v>58</v>
      </c>
      <c r="D365" s="133" t="s">
        <v>9</v>
      </c>
      <c r="E365" s="1" t="s">
        <v>897</v>
      </c>
      <c r="F365" s="4"/>
      <c r="G365" s="1"/>
      <c r="H365" s="125"/>
      <c r="I365" s="125"/>
      <c r="J365" s="125">
        <v>-107.43</v>
      </c>
      <c r="K365" s="125">
        <v>-107.43</v>
      </c>
      <c r="L365" s="125">
        <f t="shared" si="5"/>
        <v>23732.419999999987</v>
      </c>
      <c r="M365" s="18" t="s">
        <v>90</v>
      </c>
      <c r="N365" s="18"/>
      <c r="P365"/>
      <c r="Q365" s="4"/>
      <c r="R365"/>
      <c r="S365" s="125"/>
      <c r="T365"/>
      <c r="U365"/>
      <c r="V365"/>
      <c r="W365"/>
      <c r="X365"/>
      <c r="Y365"/>
    </row>
    <row r="366" spans="1:25" x14ac:dyDescent="0.3">
      <c r="A366" s="3"/>
      <c r="B366" s="187" t="s">
        <v>492</v>
      </c>
      <c r="C366" s="4" t="s">
        <v>533</v>
      </c>
      <c r="D366" s="133" t="s">
        <v>12</v>
      </c>
      <c r="E366" s="1"/>
      <c r="F366" s="4"/>
      <c r="G366" s="1"/>
      <c r="H366" s="125"/>
      <c r="I366" s="125"/>
      <c r="J366" s="125">
        <v>-295.61</v>
      </c>
      <c r="K366" s="125">
        <v>-295.61</v>
      </c>
      <c r="L366" s="125">
        <f t="shared" si="5"/>
        <v>23436.809999999987</v>
      </c>
      <c r="M366" s="16" t="s">
        <v>90</v>
      </c>
      <c r="N366" s="18"/>
      <c r="P366"/>
      <c r="Q366" s="4"/>
      <c r="R366"/>
      <c r="S366" s="30" t="s">
        <v>928</v>
      </c>
      <c r="T366" s="30"/>
      <c r="U366" s="30"/>
      <c r="V366" s="30"/>
      <c r="W366"/>
      <c r="X366"/>
      <c r="Y366"/>
    </row>
    <row r="367" spans="1:25" x14ac:dyDescent="0.3">
      <c r="A367" s="3"/>
      <c r="B367" s="187" t="s">
        <v>492</v>
      </c>
      <c r="C367" s="4" t="s">
        <v>299</v>
      </c>
      <c r="D367" s="133" t="s">
        <v>301</v>
      </c>
      <c r="E367" s="1"/>
      <c r="F367" s="4"/>
      <c r="G367" s="1"/>
      <c r="H367" s="125"/>
      <c r="I367" s="125"/>
      <c r="J367" s="125">
        <v>-35.880000000000003</v>
      </c>
      <c r="K367" s="125">
        <v>-35.880000000000003</v>
      </c>
      <c r="L367" s="125">
        <f t="shared" si="5"/>
        <v>23400.929999999986</v>
      </c>
      <c r="M367" s="18" t="s">
        <v>90</v>
      </c>
      <c r="N367"/>
      <c r="P367"/>
      <c r="Q367" s="4"/>
      <c r="R367"/>
      <c r="S367"/>
      <c r="T367"/>
      <c r="U367"/>
      <c r="V367"/>
      <c r="W367"/>
      <c r="X367"/>
      <c r="Y367"/>
    </row>
    <row r="368" spans="1:25" x14ac:dyDescent="0.3">
      <c r="A368" s="174"/>
      <c r="B368" s="187" t="s">
        <v>492</v>
      </c>
      <c r="C368" s="4" t="s">
        <v>607</v>
      </c>
      <c r="D368" s="133" t="s">
        <v>11</v>
      </c>
      <c r="E368" s="1"/>
      <c r="F368" s="4"/>
      <c r="G368" s="1"/>
      <c r="H368" s="125"/>
      <c r="I368" s="125"/>
      <c r="J368" s="125">
        <v>-110.2</v>
      </c>
      <c r="K368" s="125">
        <v>-110.2</v>
      </c>
      <c r="L368" s="125">
        <f t="shared" si="5"/>
        <v>23290.729999999985</v>
      </c>
      <c r="M368" s="16" t="s">
        <v>90</v>
      </c>
      <c r="N368"/>
      <c r="P368"/>
      <c r="Q368" s="4"/>
      <c r="R368"/>
      <c r="S368" t="s">
        <v>584</v>
      </c>
      <c r="T368"/>
      <c r="U368"/>
      <c r="V368"/>
      <c r="W368">
        <v>21747.54</v>
      </c>
      <c r="X368"/>
      <c r="Y368"/>
    </row>
    <row r="369" spans="1:25" x14ac:dyDescent="0.3">
      <c r="A369" s="3"/>
      <c r="B369" s="187" t="s">
        <v>492</v>
      </c>
      <c r="C369" s="4" t="s">
        <v>48</v>
      </c>
      <c r="D369" s="133" t="s">
        <v>12</v>
      </c>
      <c r="E369" s="1"/>
      <c r="F369" s="4"/>
      <c r="G369" s="1"/>
      <c r="H369" s="125"/>
      <c r="I369" s="125"/>
      <c r="J369" s="125">
        <v>-89.82</v>
      </c>
      <c r="K369" s="125">
        <v>-89.82</v>
      </c>
      <c r="L369" s="125">
        <f t="shared" si="5"/>
        <v>23200.909999999985</v>
      </c>
      <c r="M369" s="16" t="s">
        <v>90</v>
      </c>
      <c r="N369"/>
      <c r="P369"/>
      <c r="Q369" s="4"/>
      <c r="R369"/>
      <c r="S369"/>
      <c r="T369"/>
      <c r="U369"/>
      <c r="V369"/>
      <c r="W369"/>
      <c r="X369"/>
      <c r="Y369"/>
    </row>
    <row r="370" spans="1:25" x14ac:dyDescent="0.3">
      <c r="A370" s="3"/>
      <c r="B370" s="187" t="s">
        <v>492</v>
      </c>
      <c r="C370" s="4" t="s">
        <v>899</v>
      </c>
      <c r="D370" s="133" t="s">
        <v>504</v>
      </c>
      <c r="E370" s="191" t="s">
        <v>898</v>
      </c>
      <c r="F370" s="4"/>
      <c r="G370" s="1">
        <v>500199</v>
      </c>
      <c r="H370" s="125"/>
      <c r="I370" s="125"/>
      <c r="J370" s="192">
        <v>-100</v>
      </c>
      <c r="K370" s="125">
        <v>-100</v>
      </c>
      <c r="L370" s="125">
        <f t="shared" si="5"/>
        <v>23100.909999999985</v>
      </c>
      <c r="M370" s="18" t="s">
        <v>90</v>
      </c>
      <c r="N370"/>
      <c r="P370"/>
      <c r="Q370" s="4"/>
      <c r="R370"/>
      <c r="S370" t="s">
        <v>650</v>
      </c>
      <c r="T370"/>
      <c r="U370"/>
      <c r="V370" s="125"/>
      <c r="W370"/>
      <c r="X370"/>
      <c r="Y370"/>
    </row>
    <row r="371" spans="1:25" x14ac:dyDescent="0.3">
      <c r="A371" s="180"/>
      <c r="B371" s="187" t="s">
        <v>492</v>
      </c>
      <c r="C371" s="4" t="s">
        <v>475</v>
      </c>
      <c r="D371" s="133" t="s">
        <v>512</v>
      </c>
      <c r="E371" s="1"/>
      <c r="F371" s="4"/>
      <c r="G371" s="1"/>
      <c r="H371" s="125">
        <v>17</v>
      </c>
      <c r="I371" s="125"/>
      <c r="J371" s="125"/>
      <c r="K371" s="125">
        <v>17</v>
      </c>
      <c r="L371" s="125">
        <f t="shared" si="5"/>
        <v>23117.909999999985</v>
      </c>
      <c r="M371" s="18" t="s">
        <v>833</v>
      </c>
      <c r="N371"/>
      <c r="P371"/>
      <c r="Q371" s="4"/>
      <c r="R371"/>
      <c r="S371"/>
      <c r="T371"/>
      <c r="U371"/>
      <c r="V371"/>
      <c r="W371"/>
      <c r="X371"/>
      <c r="Y371"/>
    </row>
    <row r="372" spans="1:25" x14ac:dyDescent="0.3">
      <c r="A372" s="174"/>
      <c r="B372" s="187" t="s">
        <v>492</v>
      </c>
      <c r="C372" s="4" t="s">
        <v>900</v>
      </c>
      <c r="D372" s="133" t="s">
        <v>512</v>
      </c>
      <c r="E372" s="1"/>
      <c r="F372"/>
      <c r="G372" s="1"/>
      <c r="H372" s="125">
        <v>26</v>
      </c>
      <c r="I372" s="125"/>
      <c r="J372" s="125"/>
      <c r="K372" s="125">
        <v>26</v>
      </c>
      <c r="L372" s="125">
        <f t="shared" si="5"/>
        <v>23143.909999999985</v>
      </c>
      <c r="M372" s="18" t="s">
        <v>833</v>
      </c>
      <c r="N372"/>
      <c r="P372"/>
      <c r="Q372" s="4"/>
      <c r="R372"/>
      <c r="S372" t="s">
        <v>929</v>
      </c>
      <c r="T372"/>
      <c r="U372"/>
      <c r="V372" s="125"/>
      <c r="W372">
        <v>34</v>
      </c>
      <c r="X372"/>
      <c r="Y372"/>
    </row>
    <row r="373" spans="1:25" x14ac:dyDescent="0.3">
      <c r="A373" s="3"/>
      <c r="B373" s="187" t="s">
        <v>492</v>
      </c>
      <c r="C373" s="4" t="s">
        <v>675</v>
      </c>
      <c r="D373" s="133" t="s">
        <v>512</v>
      </c>
      <c r="E373" s="1"/>
      <c r="F373" s="4"/>
      <c r="G373" s="1"/>
      <c r="H373" s="125">
        <v>8</v>
      </c>
      <c r="I373" s="125"/>
      <c r="J373" s="125"/>
      <c r="K373" s="125">
        <v>8</v>
      </c>
      <c r="L373" s="125">
        <f t="shared" si="5"/>
        <v>23151.909999999985</v>
      </c>
      <c r="M373" s="18" t="s">
        <v>833</v>
      </c>
      <c r="N373" s="193"/>
      <c r="O373" s="4"/>
      <c r="P373" s="1"/>
      <c r="Q373" s="4"/>
      <c r="R373"/>
      <c r="S373"/>
      <c r="T373"/>
      <c r="U373"/>
      <c r="V373"/>
      <c r="W373"/>
      <c r="X373"/>
      <c r="Y373"/>
    </row>
    <row r="374" spans="1:25" x14ac:dyDescent="0.3">
      <c r="A374" s="3"/>
      <c r="B374" s="187" t="s">
        <v>492</v>
      </c>
      <c r="C374" s="4" t="s">
        <v>447</v>
      </c>
      <c r="D374" s="133" t="s">
        <v>512</v>
      </c>
      <c r="E374" s="1"/>
      <c r="F374" s="4"/>
      <c r="G374" s="1"/>
      <c r="H374" s="125">
        <v>40</v>
      </c>
      <c r="I374" s="125"/>
      <c r="J374" s="125"/>
      <c r="K374" s="125">
        <v>40</v>
      </c>
      <c r="L374" s="125">
        <f t="shared" si="5"/>
        <v>23191.909999999985</v>
      </c>
      <c r="M374" s="18" t="s">
        <v>833</v>
      </c>
      <c r="N374"/>
      <c r="P374"/>
      <c r="Q374" s="4"/>
      <c r="R374"/>
      <c r="S374" t="s">
        <v>586</v>
      </c>
      <c r="T374"/>
      <c r="U374"/>
      <c r="V374"/>
      <c r="W374"/>
      <c r="X374"/>
      <c r="Y374"/>
    </row>
    <row r="375" spans="1:25" x14ac:dyDescent="0.3">
      <c r="A375" s="3"/>
      <c r="B375" s="187" t="s">
        <v>492</v>
      </c>
      <c r="C375" s="4" t="s">
        <v>240</v>
      </c>
      <c r="D375" s="133" t="s">
        <v>512</v>
      </c>
      <c r="E375" s="1"/>
      <c r="F375"/>
      <c r="G375" s="1"/>
      <c r="H375" s="125">
        <v>90.05</v>
      </c>
      <c r="I375" s="125"/>
      <c r="J375" s="125"/>
      <c r="K375" s="125">
        <v>90.05</v>
      </c>
      <c r="L375" s="125">
        <f t="shared" si="5"/>
        <v>23281.959999999985</v>
      </c>
      <c r="M375" s="18" t="s">
        <v>833</v>
      </c>
      <c r="N375"/>
      <c r="P375"/>
      <c r="Q375" s="4"/>
      <c r="R375"/>
      <c r="S375"/>
      <c r="T375"/>
      <c r="U375"/>
      <c r="V375" s="125"/>
      <c r="W375"/>
      <c r="X375"/>
      <c r="Y375"/>
    </row>
    <row r="376" spans="1:25" x14ac:dyDescent="0.3">
      <c r="A376" s="3"/>
      <c r="B376" s="187" t="s">
        <v>492</v>
      </c>
      <c r="C376" s="4" t="s">
        <v>901</v>
      </c>
      <c r="D376" s="133" t="s">
        <v>500</v>
      </c>
      <c r="E376" s="191" t="s">
        <v>902</v>
      </c>
      <c r="F376" s="4"/>
      <c r="G376" s="193"/>
      <c r="H376" s="192">
        <v>50</v>
      </c>
      <c r="I376" s="125"/>
      <c r="J376" s="125"/>
      <c r="K376" s="125">
        <v>50</v>
      </c>
      <c r="L376" s="125">
        <f t="shared" si="5"/>
        <v>23331.959999999985</v>
      </c>
      <c r="M376" s="18" t="s">
        <v>90</v>
      </c>
      <c r="N376"/>
      <c r="P376"/>
      <c r="Q376" s="4"/>
      <c r="R376"/>
      <c r="S376"/>
      <c r="T376"/>
      <c r="U376"/>
      <c r="V376" s="125"/>
      <c r="W376" s="125"/>
      <c r="X376"/>
      <c r="Y376"/>
    </row>
    <row r="377" spans="1:25" x14ac:dyDescent="0.3">
      <c r="A377" s="3"/>
      <c r="B377" s="187" t="s">
        <v>492</v>
      </c>
      <c r="C377" s="4" t="s">
        <v>901</v>
      </c>
      <c r="D377" s="133" t="s">
        <v>512</v>
      </c>
      <c r="E377" s="1">
        <v>43828</v>
      </c>
      <c r="F377" s="4"/>
      <c r="G377" s="1" t="s">
        <v>930</v>
      </c>
      <c r="H377" s="125">
        <v>68</v>
      </c>
      <c r="I377" s="125"/>
      <c r="J377" s="125"/>
      <c r="K377" s="125">
        <v>68</v>
      </c>
      <c r="L377" s="125">
        <f t="shared" si="5"/>
        <v>23399.959999999985</v>
      </c>
      <c r="M377" s="18" t="s">
        <v>90</v>
      </c>
      <c r="N377"/>
      <c r="P377"/>
      <c r="Q377" s="4"/>
      <c r="R377"/>
      <c r="S377">
        <v>500194</v>
      </c>
      <c r="T377"/>
      <c r="U377"/>
      <c r="V377" s="125">
        <v>-50</v>
      </c>
      <c r="W377"/>
      <c r="X377"/>
      <c r="Y377"/>
    </row>
    <row r="378" spans="1:25" x14ac:dyDescent="0.3">
      <c r="A378" s="3"/>
      <c r="B378" s="187" t="s">
        <v>492</v>
      </c>
      <c r="C378" s="4" t="s">
        <v>97</v>
      </c>
      <c r="D378" s="133" t="s">
        <v>10</v>
      </c>
      <c r="E378" s="1" t="s">
        <v>903</v>
      </c>
      <c r="F378" s="1"/>
      <c r="G378" s="1"/>
      <c r="H378" s="125"/>
      <c r="I378" s="125"/>
      <c r="J378" s="125">
        <v>-1409.42</v>
      </c>
      <c r="K378" s="125">
        <v>-1409.42</v>
      </c>
      <c r="L378" s="125">
        <f t="shared" si="5"/>
        <v>21990.539999999986</v>
      </c>
      <c r="M378" s="18" t="s">
        <v>90</v>
      </c>
      <c r="N378"/>
      <c r="P378"/>
      <c r="Q378" s="4"/>
      <c r="R378"/>
      <c r="S378">
        <v>500200</v>
      </c>
      <c r="T378"/>
      <c r="U378"/>
      <c r="V378" s="125">
        <v>-50</v>
      </c>
      <c r="W378" s="125"/>
      <c r="X378"/>
      <c r="Y378"/>
    </row>
    <row r="379" spans="1:25" x14ac:dyDescent="0.3">
      <c r="A379" s="3"/>
      <c r="B379" s="187" t="s">
        <v>492</v>
      </c>
      <c r="C379" s="4" t="s">
        <v>844</v>
      </c>
      <c r="D379" s="133" t="s">
        <v>512</v>
      </c>
      <c r="E379" s="1"/>
      <c r="F379" s="4"/>
      <c r="G379" s="1"/>
      <c r="H379" s="125">
        <v>8</v>
      </c>
      <c r="I379" s="125"/>
      <c r="J379" s="125"/>
      <c r="K379" s="125">
        <v>8</v>
      </c>
      <c r="L379" s="125">
        <f t="shared" si="5"/>
        <v>21998.539999999986</v>
      </c>
      <c r="M379" s="18" t="s">
        <v>833</v>
      </c>
      <c r="N379"/>
      <c r="P379"/>
      <c r="Q379" s="4"/>
      <c r="R379"/>
      <c r="S379">
        <v>500756</v>
      </c>
      <c r="T379"/>
      <c r="U379"/>
      <c r="V379" s="125">
        <v>-50</v>
      </c>
      <c r="W379"/>
      <c r="X379"/>
      <c r="Y379"/>
    </row>
    <row r="380" spans="1:25" x14ac:dyDescent="0.3">
      <c r="A380" s="3"/>
      <c r="B380" s="187" t="s">
        <v>492</v>
      </c>
      <c r="C380" s="4" t="s">
        <v>859</v>
      </c>
      <c r="D380" s="133" t="s">
        <v>504</v>
      </c>
      <c r="E380" s="191" t="s">
        <v>904</v>
      </c>
      <c r="F380" s="4"/>
      <c r="G380" s="1">
        <v>500200</v>
      </c>
      <c r="H380" s="125"/>
      <c r="I380" s="125"/>
      <c r="J380" s="192">
        <v>-50</v>
      </c>
      <c r="K380" s="125">
        <v>-50</v>
      </c>
      <c r="L380" s="125">
        <f t="shared" si="5"/>
        <v>21948.539999999986</v>
      </c>
      <c r="N380"/>
      <c r="P380"/>
      <c r="Q380" s="4"/>
      <c r="R380"/>
      <c r="S380"/>
      <c r="T380"/>
      <c r="U380"/>
      <c r="V380" s="125"/>
      <c r="W380"/>
      <c r="X380"/>
      <c r="Y380"/>
    </row>
    <row r="381" spans="1:25" x14ac:dyDescent="0.3">
      <c r="A381" s="182"/>
      <c r="B381" s="187" t="s">
        <v>492</v>
      </c>
      <c r="C381" s="4" t="s">
        <v>759</v>
      </c>
      <c r="D381" s="133" t="s">
        <v>504</v>
      </c>
      <c r="E381" s="191" t="s">
        <v>905</v>
      </c>
      <c r="F381" s="4"/>
      <c r="G381" s="1">
        <v>500755</v>
      </c>
      <c r="H381" s="125"/>
      <c r="I381" s="125"/>
      <c r="J381" s="192">
        <v>-250</v>
      </c>
      <c r="K381" s="125">
        <v>-250</v>
      </c>
      <c r="L381" s="125">
        <f t="shared" si="5"/>
        <v>21698.539999999986</v>
      </c>
      <c r="M381" s="18" t="s">
        <v>90</v>
      </c>
      <c r="N381"/>
      <c r="P381"/>
      <c r="Q381" s="4"/>
      <c r="R381"/>
      <c r="S381"/>
      <c r="T381"/>
      <c r="U381"/>
      <c r="V381" s="125"/>
      <c r="W381" s="125"/>
      <c r="X381"/>
      <c r="Y381"/>
    </row>
    <row r="382" spans="1:25" x14ac:dyDescent="0.3">
      <c r="A382" s="182"/>
      <c r="B382" s="187" t="s">
        <v>492</v>
      </c>
      <c r="C382" s="4" t="s">
        <v>906</v>
      </c>
      <c r="D382" s="133" t="s">
        <v>512</v>
      </c>
      <c r="E382" s="1"/>
      <c r="F382" s="4"/>
      <c r="G382" s="1"/>
      <c r="H382" s="125">
        <v>34</v>
      </c>
      <c r="I382" s="125"/>
      <c r="J382" s="125"/>
      <c r="K382" s="125">
        <v>34</v>
      </c>
      <c r="L382" s="125">
        <f t="shared" si="5"/>
        <v>21732.539999999986</v>
      </c>
      <c r="N382"/>
      <c r="P382"/>
      <c r="Q382" s="4"/>
      <c r="R382"/>
      <c r="S382"/>
      <c r="T382"/>
      <c r="U382"/>
      <c r="V382" s="125"/>
      <c r="W382"/>
      <c r="X382"/>
      <c r="Y382"/>
    </row>
    <row r="383" spans="1:25" x14ac:dyDescent="0.3">
      <c r="A383" s="182"/>
      <c r="B383" s="187" t="s">
        <v>492</v>
      </c>
      <c r="C383" s="4" t="s">
        <v>931</v>
      </c>
      <c r="D383" s="133" t="s">
        <v>504</v>
      </c>
      <c r="E383" s="191" t="s">
        <v>932</v>
      </c>
      <c r="F383" s="4"/>
      <c r="G383" s="1">
        <v>500756</v>
      </c>
      <c r="H383" s="125"/>
      <c r="I383" s="125"/>
      <c r="J383" s="192">
        <v>-50</v>
      </c>
      <c r="K383" s="125">
        <v>-50</v>
      </c>
      <c r="L383" s="125">
        <f t="shared" si="5"/>
        <v>21682.539999999986</v>
      </c>
      <c r="N383"/>
      <c r="P383"/>
      <c r="Q383" s="4"/>
      <c r="R383"/>
      <c r="S383"/>
      <c r="T383"/>
      <c r="U383"/>
      <c r="V383"/>
      <c r="W383"/>
      <c r="X383"/>
      <c r="Y383"/>
    </row>
    <row r="384" spans="1:25" x14ac:dyDescent="0.3">
      <c r="A384" s="182"/>
      <c r="B384" s="187" t="s">
        <v>492</v>
      </c>
      <c r="C384" s="237" t="s">
        <v>604</v>
      </c>
      <c r="D384" s="133" t="s">
        <v>512</v>
      </c>
      <c r="E384" s="1" t="s">
        <v>933</v>
      </c>
      <c r="F384" s="16"/>
      <c r="G384" s="1"/>
      <c r="H384" s="125">
        <v>-51</v>
      </c>
      <c r="I384" s="125"/>
      <c r="J384" s="125"/>
      <c r="K384" s="125">
        <v>-51</v>
      </c>
      <c r="L384" s="125">
        <f t="shared" si="5"/>
        <v>21631.539999999986</v>
      </c>
      <c r="M384" s="18" t="s">
        <v>572</v>
      </c>
      <c r="N384"/>
      <c r="P384"/>
      <c r="Q384" s="4"/>
      <c r="R384"/>
      <c r="S384"/>
      <c r="T384"/>
      <c r="U384"/>
      <c r="V384"/>
      <c r="W384"/>
      <c r="X384"/>
      <c r="Y384"/>
    </row>
    <row r="385" spans="1:25" x14ac:dyDescent="0.3">
      <c r="A385" s="182"/>
      <c r="B385" s="187" t="s">
        <v>492</v>
      </c>
      <c r="C385" s="4" t="s">
        <v>947</v>
      </c>
      <c r="D385" s="133" t="s">
        <v>623</v>
      </c>
      <c r="E385" s="1"/>
      <c r="F385" s="4"/>
      <c r="G385" s="1">
        <v>500133</v>
      </c>
      <c r="H385" s="125"/>
      <c r="I385" s="125"/>
      <c r="J385" s="125">
        <v>-15.51</v>
      </c>
      <c r="K385" s="125">
        <v>-15.51</v>
      </c>
      <c r="L385" s="125">
        <f t="shared" si="5"/>
        <v>21616.029999999988</v>
      </c>
      <c r="N385"/>
      <c r="P385"/>
      <c r="Q385" s="4"/>
      <c r="R385"/>
      <c r="S385"/>
      <c r="T385"/>
      <c r="U385"/>
      <c r="V385"/>
      <c r="W385" s="125">
        <v>-150</v>
      </c>
      <c r="X385"/>
      <c r="Y385"/>
    </row>
    <row r="386" spans="1:25" x14ac:dyDescent="0.3">
      <c r="A386" s="182"/>
      <c r="B386" s="187" t="s">
        <v>492</v>
      </c>
      <c r="C386" s="4"/>
      <c r="D386" s="4"/>
      <c r="E386" s="1"/>
      <c r="F386" s="4"/>
      <c r="G386" s="1"/>
      <c r="H386" s="125"/>
      <c r="I386" s="125"/>
      <c r="J386" s="125"/>
      <c r="K386" s="125"/>
      <c r="L386" s="125">
        <f t="shared" si="5"/>
        <v>21616.029999999988</v>
      </c>
      <c r="N386"/>
      <c r="P386"/>
      <c r="Q386" s="4"/>
      <c r="R386"/>
      <c r="S386"/>
      <c r="T386"/>
      <c r="U386"/>
      <c r="V386"/>
      <c r="W386"/>
      <c r="X386"/>
      <c r="Y386"/>
    </row>
    <row r="387" spans="1:25" x14ac:dyDescent="0.3">
      <c r="A387" s="182"/>
      <c r="B387" s="187" t="s">
        <v>492</v>
      </c>
      <c r="C387" s="4"/>
      <c r="D387" s="4"/>
      <c r="E387" s="1"/>
      <c r="F387" s="4"/>
      <c r="G387" s="1"/>
      <c r="H387" s="125"/>
      <c r="I387" s="125"/>
      <c r="J387" s="125"/>
      <c r="K387" s="125"/>
      <c r="L387" s="125">
        <f t="shared" si="5"/>
        <v>21616.029999999988</v>
      </c>
      <c r="N387"/>
      <c r="P387"/>
      <c r="Q387" s="4"/>
      <c r="R387"/>
      <c r="S387" t="s">
        <v>652</v>
      </c>
      <c r="T387"/>
      <c r="U387"/>
      <c r="V387"/>
      <c r="W387" s="23">
        <v>21631.54</v>
      </c>
      <c r="X387"/>
      <c r="Y387" t="s">
        <v>588</v>
      </c>
    </row>
    <row r="388" spans="1:25" x14ac:dyDescent="0.3">
      <c r="A388" s="182"/>
      <c r="B388" s="187" t="s">
        <v>492</v>
      </c>
      <c r="C388" s="4"/>
      <c r="D388" s="4"/>
      <c r="E388" s="1"/>
      <c r="F388" s="4"/>
      <c r="G388" s="1"/>
      <c r="H388" s="125"/>
      <c r="I388" s="125"/>
      <c r="J388" s="125"/>
      <c r="K388" s="125"/>
      <c r="L388" s="125"/>
      <c r="N388"/>
      <c r="P388"/>
      <c r="Q388" s="4"/>
      <c r="R388"/>
      <c r="S388"/>
      <c r="T388"/>
      <c r="U388"/>
      <c r="V388"/>
      <c r="W388"/>
      <c r="X388"/>
      <c r="Y388"/>
    </row>
    <row r="389" spans="1:25" x14ac:dyDescent="0.3">
      <c r="A389" s="182"/>
      <c r="B389" s="187" t="s">
        <v>492</v>
      </c>
      <c r="C389" s="4"/>
      <c r="D389" s="4"/>
      <c r="E389" s="1"/>
      <c r="F389" s="4"/>
      <c r="G389" s="1"/>
      <c r="H389" s="125"/>
      <c r="I389" s="125"/>
      <c r="J389" s="125"/>
      <c r="K389" s="125"/>
      <c r="L389" s="125"/>
      <c r="N389"/>
      <c r="P389"/>
      <c r="Q389" s="4"/>
      <c r="R389"/>
      <c r="S389"/>
      <c r="T389"/>
      <c r="U389"/>
      <c r="V389"/>
      <c r="W389"/>
      <c r="X389"/>
      <c r="Y389"/>
    </row>
    <row r="390" spans="1:25" x14ac:dyDescent="0.3">
      <c r="A390" s="182"/>
      <c r="B390" s="187" t="s">
        <v>492</v>
      </c>
      <c r="C390" s="4"/>
      <c r="D390" s="4"/>
      <c r="E390" s="1"/>
      <c r="F390" s="4"/>
      <c r="G390" s="1"/>
      <c r="H390" s="125"/>
      <c r="I390" s="125"/>
      <c r="J390" s="125"/>
      <c r="K390" s="125"/>
      <c r="L390" s="125"/>
      <c r="N390"/>
      <c r="P390"/>
      <c r="Q390" s="4"/>
      <c r="R390"/>
      <c r="S390"/>
      <c r="T390"/>
      <c r="U390"/>
      <c r="V390"/>
      <c r="W390"/>
      <c r="X390"/>
      <c r="Y390"/>
    </row>
    <row r="391" spans="1:25" x14ac:dyDescent="0.3">
      <c r="A391" s="182"/>
      <c r="B391" s="201"/>
      <c r="C391" s="4"/>
      <c r="D391" s="4"/>
      <c r="E391" s="1"/>
      <c r="F391" s="4"/>
      <c r="G391" s="1"/>
      <c r="H391" s="125"/>
      <c r="I391" s="125"/>
      <c r="J391" s="125"/>
      <c r="K391" s="125"/>
      <c r="L391" s="125"/>
      <c r="N391"/>
      <c r="P391"/>
      <c r="Q391" s="4"/>
      <c r="R391"/>
      <c r="S391"/>
      <c r="T391"/>
      <c r="U391"/>
      <c r="V391"/>
      <c r="W391"/>
      <c r="X391"/>
      <c r="Y391"/>
    </row>
    <row r="392" spans="1:25" x14ac:dyDescent="0.3">
      <c r="A392" s="182"/>
      <c r="B392" s="201"/>
      <c r="C392" s="4"/>
      <c r="D392" s="4"/>
      <c r="E392" s="1"/>
      <c r="F392" s="4"/>
      <c r="G392" s="1"/>
      <c r="H392" s="125"/>
      <c r="I392" s="125"/>
      <c r="J392" s="125"/>
      <c r="K392" s="125"/>
      <c r="L392" s="125"/>
      <c r="N392"/>
      <c r="P392"/>
      <c r="Q392" s="4"/>
      <c r="R392"/>
      <c r="S392"/>
      <c r="T392"/>
      <c r="U392"/>
      <c r="V392"/>
      <c r="W392"/>
      <c r="X392"/>
      <c r="Y392"/>
    </row>
    <row r="393" spans="1:25" x14ac:dyDescent="0.3">
      <c r="A393" s="182"/>
      <c r="B393" s="201"/>
      <c r="C393" s="4"/>
      <c r="D393" s="4"/>
      <c r="E393" s="1"/>
      <c r="F393" s="4"/>
      <c r="G393" s="1"/>
      <c r="H393" s="125"/>
      <c r="I393" s="125"/>
      <c r="J393" s="125"/>
      <c r="K393" s="125"/>
      <c r="L393" s="125"/>
      <c r="N393"/>
      <c r="P393"/>
      <c r="Q393" s="4"/>
      <c r="R393"/>
      <c r="S393"/>
      <c r="T393"/>
      <c r="U393"/>
      <c r="V393"/>
      <c r="W393"/>
      <c r="X393"/>
      <c r="Y393"/>
    </row>
    <row r="394" spans="1:25" x14ac:dyDescent="0.3">
      <c r="A394" s="182"/>
      <c r="B394" s="201"/>
      <c r="C394" s="4"/>
      <c r="D394" s="4"/>
      <c r="E394" s="1"/>
      <c r="F394" s="4"/>
      <c r="G394" s="1"/>
      <c r="H394" s="125"/>
      <c r="I394" s="125"/>
      <c r="J394" s="125"/>
      <c r="K394" s="125"/>
      <c r="L394" s="125"/>
      <c r="N394"/>
      <c r="P394"/>
      <c r="Q394" s="4"/>
      <c r="R394"/>
      <c r="S394"/>
      <c r="T394"/>
      <c r="U394"/>
      <c r="V394"/>
      <c r="W394"/>
      <c r="X394"/>
      <c r="Y394"/>
    </row>
    <row r="395" spans="1:25" x14ac:dyDescent="0.3">
      <c r="A395" s="3"/>
      <c r="B395" s="187"/>
      <c r="C395" s="4"/>
      <c r="D395" s="4"/>
      <c r="E395" s="1"/>
      <c r="F395" s="4"/>
      <c r="G395" s="1"/>
      <c r="H395" s="125"/>
      <c r="I395" s="125"/>
      <c r="J395" s="125"/>
      <c r="K395" s="125"/>
      <c r="L395" s="125"/>
      <c r="N395"/>
      <c r="P395"/>
      <c r="Q395" s="4"/>
      <c r="R395"/>
      <c r="S395"/>
      <c r="T395"/>
      <c r="U395"/>
      <c r="V395"/>
      <c r="W395"/>
      <c r="X395"/>
      <c r="Y395"/>
    </row>
    <row r="396" spans="1:25" x14ac:dyDescent="0.3">
      <c r="A396" s="3"/>
      <c r="B396" s="180"/>
      <c r="C396" s="4"/>
      <c r="D396" s="179"/>
      <c r="E396" s="1"/>
      <c r="F396" s="4"/>
      <c r="G396"/>
      <c r="H396"/>
      <c r="I396"/>
      <c r="J396"/>
      <c r="K396" s="125"/>
      <c r="L396" s="125"/>
      <c r="N396"/>
      <c r="P396"/>
      <c r="Q396" s="4"/>
      <c r="R396"/>
      <c r="S396"/>
      <c r="T396"/>
      <c r="U396"/>
      <c r="V396"/>
      <c r="W396"/>
      <c r="X396"/>
      <c r="Y396"/>
    </row>
    <row r="397" spans="1:25" x14ac:dyDescent="0.3">
      <c r="A397" s="174"/>
      <c r="B397" s="175"/>
      <c r="C397" s="4"/>
      <c r="D397" s="179"/>
      <c r="E397" s="1"/>
      <c r="F397"/>
      <c r="G397"/>
      <c r="H397"/>
      <c r="I397"/>
      <c r="J397"/>
      <c r="K397" s="125"/>
      <c r="L397" s="125"/>
      <c r="N397"/>
      <c r="P397"/>
      <c r="Q397" s="4"/>
      <c r="R397"/>
      <c r="S397"/>
      <c r="T397"/>
      <c r="U397"/>
      <c r="V397"/>
      <c r="W397"/>
      <c r="X397"/>
      <c r="Y397"/>
    </row>
    <row r="398" spans="1:25" x14ac:dyDescent="0.3">
      <c r="A398" s="24" t="s">
        <v>934</v>
      </c>
      <c r="B398" s="178"/>
      <c r="C398" s="4"/>
      <c r="D398" s="179"/>
      <c r="E398" s="1"/>
      <c r="F398" s="4"/>
      <c r="G398" s="1"/>
      <c r="H398" s="125"/>
      <c r="I398" s="125"/>
      <c r="J398" s="125"/>
      <c r="K398" s="125"/>
      <c r="L398" s="125"/>
      <c r="N398"/>
      <c r="P398"/>
      <c r="Q398" s="4"/>
      <c r="R398"/>
      <c r="S398"/>
      <c r="T398"/>
      <c r="U398"/>
      <c r="V398"/>
      <c r="W398"/>
      <c r="X398"/>
      <c r="Y398"/>
    </row>
    <row r="399" spans="1:25" x14ac:dyDescent="0.3">
      <c r="A399" s="3"/>
      <c r="B399" s="180"/>
      <c r="C399" s="4" t="s">
        <v>110</v>
      </c>
      <c r="D399" s="179"/>
      <c r="E399" s="1"/>
      <c r="F399" s="4"/>
      <c r="G399" s="1"/>
      <c r="H399" s="125"/>
      <c r="I399" s="125"/>
      <c r="J399" s="125"/>
      <c r="K399" s="125"/>
      <c r="L399" s="125">
        <v>21747.54</v>
      </c>
      <c r="N399"/>
      <c r="P399"/>
      <c r="Q399" s="4"/>
      <c r="R399"/>
      <c r="S399"/>
      <c r="T399"/>
      <c r="U399"/>
      <c r="V399"/>
      <c r="W399"/>
      <c r="X399"/>
      <c r="Y399"/>
    </row>
    <row r="400" spans="1:25" x14ac:dyDescent="0.3">
      <c r="A400" s="3"/>
      <c r="B400" s="180"/>
      <c r="C400" s="4" t="s">
        <v>111</v>
      </c>
      <c r="D400" s="179"/>
      <c r="E400" s="1"/>
      <c r="F400" s="4"/>
      <c r="G400" s="1"/>
      <c r="H400" s="125"/>
      <c r="I400" s="125"/>
      <c r="J400" s="125"/>
      <c r="K400" s="125"/>
      <c r="L400" s="125" t="s">
        <v>924</v>
      </c>
      <c r="N400"/>
      <c r="P400"/>
      <c r="Q400" s="4"/>
      <c r="R400"/>
      <c r="S400"/>
      <c r="T400"/>
      <c r="U400"/>
      <c r="V400"/>
      <c r="W400"/>
      <c r="X400"/>
      <c r="Y400"/>
    </row>
    <row r="401" spans="1:25" x14ac:dyDescent="0.3">
      <c r="A401" s="3"/>
      <c r="B401" s="180"/>
      <c r="C401" s="4"/>
      <c r="D401" s="179"/>
      <c r="E401" s="1"/>
      <c r="F401" s="4"/>
      <c r="G401" s="1"/>
      <c r="H401" s="125"/>
      <c r="I401" s="125"/>
      <c r="J401" s="125"/>
      <c r="K401" s="125"/>
      <c r="L401" s="125"/>
      <c r="N401"/>
      <c r="P401"/>
      <c r="Q401" s="4"/>
      <c r="R401"/>
      <c r="S401"/>
      <c r="T401"/>
      <c r="U401"/>
      <c r="V401"/>
      <c r="W401"/>
      <c r="X401"/>
      <c r="Y401"/>
    </row>
    <row r="402" spans="1:25" x14ac:dyDescent="0.3">
      <c r="A402" s="3"/>
      <c r="B402" s="180"/>
      <c r="C402" s="4" t="s">
        <v>935</v>
      </c>
      <c r="D402" s="179"/>
      <c r="E402" s="1"/>
      <c r="F402" s="4"/>
      <c r="G402" s="1"/>
      <c r="H402" s="125"/>
      <c r="I402" s="125"/>
      <c r="J402" s="125"/>
      <c r="K402" s="125"/>
      <c r="L402" s="125"/>
      <c r="N402"/>
      <c r="P402"/>
      <c r="Q402" s="4"/>
      <c r="R402"/>
      <c r="S402"/>
      <c r="T402"/>
      <c r="U402"/>
      <c r="V402"/>
      <c r="W402"/>
      <c r="X402"/>
      <c r="Y402"/>
    </row>
    <row r="403" spans="1:25" x14ac:dyDescent="0.3">
      <c r="A403" s="3"/>
      <c r="B403" s="180"/>
      <c r="C403"/>
      <c r="D403" s="181"/>
      <c r="E403" s="1" t="s">
        <v>936</v>
      </c>
      <c r="F403" s="4"/>
      <c r="G403" s="1" t="s">
        <v>937</v>
      </c>
      <c r="H403" s="125"/>
      <c r="I403" s="125"/>
      <c r="J403" s="125"/>
      <c r="K403" s="125"/>
      <c r="L403" s="125">
        <v>34</v>
      </c>
      <c r="N403"/>
      <c r="P403"/>
      <c r="Q403" s="4"/>
      <c r="R403"/>
      <c r="S403"/>
      <c r="T403"/>
      <c r="U403"/>
      <c r="V403"/>
      <c r="W403"/>
      <c r="X403"/>
      <c r="Y403"/>
    </row>
    <row r="404" spans="1:25" x14ac:dyDescent="0.3">
      <c r="A404" s="3"/>
      <c r="B404" s="180"/>
      <c r="C404" t="s">
        <v>586</v>
      </c>
      <c r="D404"/>
      <c r="E404"/>
      <c r="F404"/>
      <c r="G404" s="1"/>
      <c r="H404" s="125"/>
      <c r="I404" s="125"/>
      <c r="J404" s="125"/>
      <c r="K404" s="125"/>
      <c r="L404" s="125"/>
      <c r="M404" s="64"/>
      <c r="N404"/>
      <c r="P404"/>
      <c r="Q404" s="4"/>
      <c r="R404"/>
      <c r="S404"/>
      <c r="T404"/>
      <c r="U404"/>
      <c r="V404"/>
      <c r="W404"/>
      <c r="X404"/>
      <c r="Y404"/>
    </row>
    <row r="405" spans="1:25" x14ac:dyDescent="0.3">
      <c r="A405" s="3"/>
      <c r="B405" s="180"/>
      <c r="C405">
        <v>500194</v>
      </c>
      <c r="D405"/>
      <c r="E405"/>
      <c r="F405"/>
      <c r="G405" s="1"/>
      <c r="H405" s="125"/>
      <c r="I405" s="125"/>
      <c r="J405" s="125"/>
      <c r="K405" s="125"/>
      <c r="L405" s="125">
        <v>-50</v>
      </c>
      <c r="M405" s="64"/>
      <c r="N405"/>
      <c r="P405"/>
      <c r="Q405" s="4"/>
      <c r="R405"/>
      <c r="S405"/>
      <c r="T405"/>
      <c r="U405"/>
      <c r="V405"/>
      <c r="W405"/>
      <c r="X405"/>
      <c r="Y405"/>
    </row>
    <row r="406" spans="1:25" x14ac:dyDescent="0.3">
      <c r="A406" s="3"/>
      <c r="B406" s="180"/>
      <c r="C406">
        <v>500200</v>
      </c>
      <c r="D406"/>
      <c r="E406"/>
      <c r="F406"/>
      <c r="G406" s="1"/>
      <c r="H406" s="125"/>
      <c r="I406" s="125"/>
      <c r="J406" s="125"/>
      <c r="K406" s="125"/>
      <c r="L406" s="125">
        <v>-50</v>
      </c>
      <c r="M406" s="64"/>
      <c r="N406"/>
      <c r="P406"/>
      <c r="Q406" s="4"/>
      <c r="R406"/>
      <c r="S406"/>
      <c r="T406"/>
      <c r="U406"/>
      <c r="V406"/>
      <c r="W406"/>
      <c r="X406"/>
      <c r="Y406"/>
    </row>
    <row r="407" spans="1:25" x14ac:dyDescent="0.3">
      <c r="A407" s="3"/>
      <c r="B407" s="180"/>
      <c r="C407">
        <v>500756</v>
      </c>
      <c r="D407"/>
      <c r="E407"/>
      <c r="F407"/>
      <c r="G407" s="1"/>
      <c r="H407" s="125"/>
      <c r="I407" s="125"/>
      <c r="J407" s="125"/>
      <c r="K407" s="125"/>
      <c r="L407" s="125">
        <v>-50</v>
      </c>
      <c r="M407" s="64"/>
      <c r="N407"/>
      <c r="P407"/>
      <c r="Q407" s="4"/>
      <c r="R407"/>
      <c r="S407"/>
      <c r="T407"/>
      <c r="U407"/>
      <c r="V407"/>
      <c r="W407"/>
      <c r="X407"/>
      <c r="Y407"/>
    </row>
    <row r="408" spans="1:25" ht="17.25" customHeight="1" x14ac:dyDescent="0.3">
      <c r="A408" s="3"/>
      <c r="B408" s="180"/>
      <c r="C408" s="4">
        <v>500133</v>
      </c>
      <c r="D408" s="179"/>
      <c r="E408" s="1"/>
      <c r="F408" s="4"/>
      <c r="G408" s="1"/>
      <c r="H408" s="125"/>
      <c r="I408" s="125"/>
      <c r="J408" s="125"/>
      <c r="K408" s="125"/>
      <c r="L408" s="125">
        <v>-15.51</v>
      </c>
      <c r="M408" s="64"/>
      <c r="N408"/>
      <c r="P408"/>
      <c r="Q408" s="4"/>
      <c r="R408"/>
      <c r="S408"/>
      <c r="T408"/>
      <c r="U408"/>
      <c r="V408"/>
      <c r="W408"/>
      <c r="X408"/>
      <c r="Y408"/>
    </row>
    <row r="409" spans="1:25" x14ac:dyDescent="0.3">
      <c r="A409" s="3"/>
      <c r="B409" s="180"/>
      <c r="C409" s="4"/>
      <c r="D409" s="179"/>
      <c r="E409" s="1"/>
      <c r="F409"/>
      <c r="G409" s="1"/>
      <c r="H409" s="125"/>
      <c r="I409" s="125"/>
      <c r="J409" s="125"/>
      <c r="K409" s="125"/>
      <c r="L409" s="125"/>
      <c r="M409" s="64"/>
      <c r="N409"/>
      <c r="P409"/>
      <c r="Q409" s="4"/>
      <c r="R409"/>
      <c r="S409"/>
      <c r="T409"/>
      <c r="U409"/>
      <c r="V409"/>
      <c r="W409"/>
      <c r="X409"/>
      <c r="Y409"/>
    </row>
    <row r="410" spans="1:25" ht="13.5" thickBot="1" x14ac:dyDescent="0.35">
      <c r="A410" s="3"/>
      <c r="B410" s="180"/>
      <c r="C410" s="4"/>
      <c r="D410" s="179"/>
      <c r="E410" s="1"/>
      <c r="F410" s="4"/>
      <c r="G410" s="1"/>
      <c r="H410" s="125"/>
      <c r="I410" s="125"/>
      <c r="J410" s="125"/>
      <c r="K410" s="125"/>
      <c r="L410" s="125"/>
      <c r="M410" s="64"/>
      <c r="N410"/>
      <c r="P410"/>
      <c r="Q410" s="4"/>
      <c r="R410"/>
      <c r="S410"/>
      <c r="T410"/>
      <c r="U410"/>
      <c r="V410"/>
      <c r="W410"/>
      <c r="X410"/>
      <c r="Y410"/>
    </row>
    <row r="411" spans="1:25" ht="13.5" thickBot="1" x14ac:dyDescent="0.35">
      <c r="A411" s="3"/>
      <c r="B411" s="180"/>
      <c r="C411" s="4" t="s">
        <v>75</v>
      </c>
      <c r="D411" s="179"/>
      <c r="E411" s="1"/>
      <c r="F411" s="4"/>
      <c r="G411" s="1"/>
      <c r="H411" s="125"/>
      <c r="I411" s="125"/>
      <c r="J411" s="125"/>
      <c r="K411" s="125"/>
      <c r="L411" s="126">
        <f>SUM(L399:L408)</f>
        <v>21616.030000000002</v>
      </c>
      <c r="N411"/>
      <c r="P411"/>
      <c r="Q411" s="4"/>
      <c r="R411"/>
      <c r="S411"/>
      <c r="T411"/>
      <c r="U411"/>
      <c r="V411"/>
      <c r="W411"/>
      <c r="X411"/>
      <c r="Y411"/>
    </row>
    <row r="412" spans="1:25" ht="13.5" thickTop="1" x14ac:dyDescent="0.3">
      <c r="A412" s="3"/>
      <c r="B412" s="180"/>
      <c r="C412" s="4"/>
      <c r="D412" s="179"/>
      <c r="E412" s="1"/>
      <c r="F412" s="4"/>
      <c r="G412" s="1"/>
      <c r="H412" s="125"/>
      <c r="I412" s="125"/>
      <c r="J412" s="125"/>
      <c r="K412" s="125"/>
      <c r="L412" s="125"/>
      <c r="N412"/>
      <c r="P412"/>
      <c r="Q412" s="4"/>
      <c r="R412"/>
      <c r="S412"/>
      <c r="T412"/>
      <c r="U412"/>
      <c r="V412"/>
      <c r="W412"/>
      <c r="X412"/>
      <c r="Y412"/>
    </row>
    <row r="413" spans="1:25" x14ac:dyDescent="0.3">
      <c r="A413" s="3"/>
      <c r="B413" s="180"/>
      <c r="C413"/>
      <c r="D413" s="199"/>
      <c r="E413" s="1"/>
      <c r="F413"/>
      <c r="G413" s="1"/>
      <c r="H413" s="125"/>
      <c r="I413" s="125"/>
      <c r="J413" s="125"/>
      <c r="K413" s="125"/>
      <c r="L413" s="125"/>
      <c r="N413"/>
      <c r="P413"/>
      <c r="Q413" s="4"/>
      <c r="R413"/>
      <c r="S413"/>
      <c r="T413"/>
      <c r="U413"/>
      <c r="V413"/>
      <c r="W413"/>
      <c r="X413"/>
      <c r="Y413"/>
    </row>
    <row r="414" spans="1:25" x14ac:dyDescent="0.3">
      <c r="A414" s="3"/>
      <c r="B414" s="180"/>
      <c r="C414"/>
      <c r="D414" s="199"/>
      <c r="E414" s="1"/>
      <c r="F414"/>
      <c r="G414" s="1"/>
      <c r="H414" s="125"/>
      <c r="I414" s="125"/>
      <c r="J414" s="125"/>
      <c r="K414" s="125"/>
      <c r="L414" s="125"/>
      <c r="N414"/>
      <c r="P414"/>
      <c r="Q414" s="4"/>
      <c r="R414"/>
      <c r="S414"/>
      <c r="T414"/>
      <c r="U414"/>
      <c r="V414"/>
      <c r="W414"/>
      <c r="X414"/>
      <c r="Y414"/>
    </row>
    <row r="415" spans="1:25" x14ac:dyDescent="0.3">
      <c r="A415" s="3"/>
      <c r="B415" s="180"/>
      <c r="C415"/>
      <c r="D415" s="199"/>
      <c r="E415" s="1"/>
      <c r="F415"/>
      <c r="G415" s="1"/>
      <c r="H415" s="125"/>
      <c r="I415" s="125"/>
      <c r="J415" s="125"/>
      <c r="K415" s="125"/>
      <c r="L415" s="125"/>
      <c r="N415"/>
      <c r="P415"/>
      <c r="Q415" s="4"/>
      <c r="R415"/>
      <c r="S415"/>
      <c r="T415"/>
      <c r="U415"/>
      <c r="V415"/>
      <c r="W415"/>
      <c r="X415"/>
      <c r="Y415"/>
    </row>
    <row r="416" spans="1:25" x14ac:dyDescent="0.3">
      <c r="A416" s="3"/>
      <c r="B416" s="180"/>
      <c r="C416" s="4"/>
      <c r="D416" s="179"/>
      <c r="E416" s="1"/>
      <c r="F416" s="4"/>
      <c r="G416" s="1"/>
      <c r="H416" s="125"/>
      <c r="I416" s="125"/>
      <c r="J416" s="125"/>
      <c r="K416" s="125"/>
      <c r="L416" s="125"/>
      <c r="N416"/>
      <c r="P416"/>
      <c r="Q416" s="4"/>
      <c r="R416"/>
      <c r="S416"/>
      <c r="T416"/>
      <c r="U416"/>
      <c r="V416"/>
      <c r="W416"/>
      <c r="X416"/>
      <c r="Y416"/>
    </row>
    <row r="417" spans="1:25" x14ac:dyDescent="0.3">
      <c r="A417" s="3"/>
      <c r="B417" s="180"/>
      <c r="C417" s="4"/>
      <c r="D417" s="179"/>
      <c r="E417" s="1"/>
      <c r="F417" s="4"/>
      <c r="G417" s="1"/>
      <c r="H417" s="125"/>
      <c r="I417" s="125"/>
      <c r="J417" s="125"/>
      <c r="K417" s="125"/>
      <c r="L417" s="125"/>
      <c r="N417"/>
      <c r="P417"/>
      <c r="Q417" s="4"/>
      <c r="R417"/>
      <c r="S417"/>
      <c r="T417"/>
      <c r="U417"/>
      <c r="V417"/>
      <c r="W417"/>
      <c r="X417"/>
      <c r="Y417"/>
    </row>
    <row r="418" spans="1:25" x14ac:dyDescent="0.3">
      <c r="A418" s="174"/>
      <c r="B418" s="175"/>
      <c r="C418" s="30" t="s">
        <v>938</v>
      </c>
      <c r="D418" s="181"/>
      <c r="E418" s="1"/>
      <c r="F418"/>
      <c r="G418" s="1"/>
      <c r="H418" s="125"/>
      <c r="I418" s="125"/>
      <c r="J418" s="125"/>
      <c r="K418" s="125"/>
      <c r="L418" s="125"/>
      <c r="N418"/>
      <c r="P418"/>
      <c r="Q418" s="4"/>
      <c r="R418"/>
      <c r="S418"/>
      <c r="T418"/>
      <c r="U418"/>
      <c r="V418"/>
      <c r="W418"/>
      <c r="X418"/>
      <c r="Y418"/>
    </row>
    <row r="419" spans="1:25" x14ac:dyDescent="0.3">
      <c r="A419" s="174"/>
      <c r="B419" s="175"/>
      <c r="C419" s="30"/>
      <c r="D419" s="181"/>
      <c r="E419" s="1"/>
      <c r="F419"/>
      <c r="G419" s="1"/>
      <c r="H419" s="125"/>
      <c r="I419" s="125"/>
      <c r="J419" s="125"/>
      <c r="K419" s="125"/>
      <c r="L419" s="125"/>
      <c r="N419"/>
      <c r="P419"/>
      <c r="Q419" s="4"/>
      <c r="R419"/>
      <c r="S419"/>
      <c r="T419"/>
      <c r="U419"/>
      <c r="V419"/>
      <c r="W419"/>
      <c r="X419"/>
      <c r="Y419"/>
    </row>
    <row r="420" spans="1:25" x14ac:dyDescent="0.3">
      <c r="A420" s="174"/>
      <c r="B420" s="208">
        <v>2017</v>
      </c>
      <c r="C420" s="4" t="s">
        <v>145</v>
      </c>
      <c r="D420" s="179" t="s">
        <v>499</v>
      </c>
      <c r="E420" s="191" t="s">
        <v>147</v>
      </c>
      <c r="F420" s="4"/>
      <c r="G420" s="207" t="s">
        <v>324</v>
      </c>
      <c r="H420" s="192">
        <v>50</v>
      </c>
      <c r="I420" s="125"/>
      <c r="J420" s="125"/>
      <c r="K420" s="125"/>
      <c r="L420" s="125"/>
      <c r="N420"/>
      <c r="P420"/>
      <c r="Q420" s="4"/>
      <c r="R420"/>
      <c r="S420"/>
      <c r="T420"/>
      <c r="U420"/>
      <c r="V420"/>
      <c r="W420"/>
      <c r="X420"/>
      <c r="Y420"/>
    </row>
    <row r="421" spans="1:25" x14ac:dyDescent="0.3">
      <c r="A421" s="174"/>
      <c r="B421" s="175"/>
      <c r="C421" s="4" t="s">
        <v>122</v>
      </c>
      <c r="D421" s="179" t="s">
        <v>499</v>
      </c>
      <c r="E421" s="191" t="s">
        <v>124</v>
      </c>
      <c r="F421" s="4"/>
      <c r="G421" s="207" t="s">
        <v>324</v>
      </c>
      <c r="H421" s="192">
        <v>30</v>
      </c>
      <c r="I421" s="125"/>
      <c r="J421" s="125"/>
      <c r="K421" s="125"/>
      <c r="L421" s="125"/>
      <c r="N421"/>
      <c r="P421"/>
      <c r="Q421" s="4"/>
      <c r="R421"/>
      <c r="S421"/>
      <c r="T421"/>
      <c r="U421"/>
      <c r="V421"/>
      <c r="W421"/>
      <c r="X421"/>
      <c r="Y421"/>
    </row>
    <row r="422" spans="1:25" x14ac:dyDescent="0.3">
      <c r="A422" s="174"/>
      <c r="B422" s="208">
        <v>2018</v>
      </c>
      <c r="C422" s="4" t="s">
        <v>771</v>
      </c>
      <c r="D422" s="179" t="s">
        <v>500</v>
      </c>
      <c r="E422" s="191" t="s">
        <v>814</v>
      </c>
      <c r="F422"/>
      <c r="G422" s="207" t="s">
        <v>324</v>
      </c>
      <c r="H422" s="192">
        <v>50</v>
      </c>
      <c r="I422" s="125"/>
      <c r="J422" s="125"/>
      <c r="K422" s="125"/>
      <c r="L422" s="125"/>
      <c r="N422"/>
      <c r="P422"/>
      <c r="Q422" s="4"/>
      <c r="R422"/>
      <c r="S422"/>
      <c r="T422"/>
      <c r="U422"/>
      <c r="V422"/>
      <c r="W422"/>
      <c r="X422"/>
      <c r="Y422"/>
    </row>
    <row r="423" spans="1:25" x14ac:dyDescent="0.3">
      <c r="A423" s="174"/>
      <c r="B423" s="175"/>
      <c r="C423" s="4" t="s">
        <v>821</v>
      </c>
      <c r="D423" s="179" t="s">
        <v>500</v>
      </c>
      <c r="E423" s="191" t="s">
        <v>823</v>
      </c>
      <c r="F423" s="4"/>
      <c r="G423" s="207" t="s">
        <v>324</v>
      </c>
      <c r="H423" s="192">
        <v>50</v>
      </c>
      <c r="I423" s="125"/>
      <c r="J423" s="125"/>
      <c r="K423" s="125"/>
      <c r="L423" s="125"/>
      <c r="N423"/>
      <c r="P423"/>
      <c r="Q423" s="4"/>
      <c r="R423"/>
      <c r="S423"/>
      <c r="T423"/>
      <c r="U423"/>
      <c r="V423"/>
      <c r="W423"/>
      <c r="X423"/>
      <c r="Y423"/>
    </row>
    <row r="424" spans="1:25" x14ac:dyDescent="0.3">
      <c r="A424" s="174"/>
      <c r="B424" s="175"/>
      <c r="C424" s="4" t="s">
        <v>841</v>
      </c>
      <c r="D424" s="179" t="s">
        <v>500</v>
      </c>
      <c r="E424" s="191" t="s">
        <v>840</v>
      </c>
      <c r="F424"/>
      <c r="G424" s="207" t="s">
        <v>324</v>
      </c>
      <c r="H424" s="192">
        <v>50</v>
      </c>
      <c r="I424" s="125"/>
      <c r="J424" s="125"/>
      <c r="K424" s="125"/>
      <c r="L424" s="125"/>
      <c r="N424"/>
      <c r="P424"/>
      <c r="Q424" s="4"/>
      <c r="R424"/>
      <c r="S424"/>
      <c r="T424"/>
      <c r="U424"/>
      <c r="V424"/>
      <c r="W424"/>
      <c r="X424"/>
      <c r="Y424"/>
    </row>
    <row r="425" spans="1:25" x14ac:dyDescent="0.3">
      <c r="A425" s="174"/>
      <c r="B425" s="175"/>
      <c r="C425" s="4" t="s">
        <v>882</v>
      </c>
      <c r="D425" s="179" t="s">
        <v>500</v>
      </c>
      <c r="E425" s="191" t="s">
        <v>881</v>
      </c>
      <c r="F425" s="4"/>
      <c r="G425" s="207" t="s">
        <v>324</v>
      </c>
      <c r="H425" s="192">
        <v>50</v>
      </c>
      <c r="I425" s="125"/>
      <c r="J425" s="125"/>
      <c r="K425" s="125"/>
      <c r="L425" s="125"/>
      <c r="N425"/>
      <c r="P425"/>
      <c r="Q425" s="4"/>
      <c r="R425"/>
      <c r="S425"/>
      <c r="T425"/>
      <c r="U425"/>
      <c r="V425"/>
      <c r="W425"/>
      <c r="X425"/>
      <c r="Y425"/>
    </row>
    <row r="426" spans="1:25" x14ac:dyDescent="0.3">
      <c r="A426" s="174"/>
      <c r="B426" s="175"/>
      <c r="C426" s="4"/>
      <c r="D426" s="179"/>
      <c r="E426" s="191"/>
      <c r="F426" s="4"/>
      <c r="G426" s="207"/>
      <c r="H426" s="192"/>
      <c r="I426" s="125"/>
      <c r="J426" s="125"/>
      <c r="K426" s="125"/>
      <c r="L426" s="125"/>
      <c r="N426"/>
      <c r="P426"/>
      <c r="Q426" s="4"/>
      <c r="R426"/>
      <c r="S426"/>
      <c r="T426"/>
      <c r="U426"/>
      <c r="V426"/>
      <c r="W426"/>
      <c r="X426"/>
      <c r="Y426"/>
    </row>
    <row r="427" spans="1:25" x14ac:dyDescent="0.3">
      <c r="A427" s="174"/>
      <c r="B427" s="175"/>
      <c r="C427"/>
      <c r="D427" s="181"/>
      <c r="E427" s="1"/>
      <c r="F427"/>
      <c r="G427" s="1"/>
      <c r="H427" s="125"/>
      <c r="I427" s="125"/>
      <c r="J427" s="125"/>
      <c r="K427" s="125"/>
      <c r="L427" s="125"/>
      <c r="N427"/>
      <c r="P427"/>
      <c r="Q427" s="4"/>
      <c r="R427"/>
      <c r="S427"/>
      <c r="T427"/>
      <c r="U427"/>
      <c r="V427"/>
      <c r="W427"/>
      <c r="X427"/>
      <c r="Y427"/>
    </row>
    <row r="428" spans="1:25" x14ac:dyDescent="0.3">
      <c r="A428" s="174"/>
      <c r="B428" s="175"/>
      <c r="C428"/>
      <c r="D428" s="181"/>
      <c r="E428" s="1"/>
      <c r="F428"/>
      <c r="G428" s="1"/>
      <c r="H428" s="125"/>
      <c r="I428" s="125"/>
      <c r="J428" s="125"/>
      <c r="K428" s="125"/>
      <c r="L428" s="125"/>
      <c r="N428"/>
      <c r="P428"/>
      <c r="Q428" s="4"/>
      <c r="R428"/>
      <c r="S428"/>
      <c r="T428"/>
      <c r="U428"/>
      <c r="V428"/>
      <c r="W428"/>
      <c r="X428"/>
      <c r="Y428"/>
    </row>
    <row r="429" spans="1:25" x14ac:dyDescent="0.3">
      <c r="A429" s="174"/>
      <c r="B429" s="175"/>
      <c r="C429"/>
      <c r="D429" s="181"/>
      <c r="E429" s="22"/>
      <c r="F429" s="23"/>
      <c r="G429" s="22"/>
      <c r="H429" s="186"/>
      <c r="I429" s="125"/>
      <c r="J429" s="125"/>
      <c r="K429" s="125"/>
      <c r="L429" s="125"/>
      <c r="N429"/>
      <c r="P429"/>
      <c r="Q429" s="4"/>
      <c r="R429"/>
      <c r="S429"/>
      <c r="T429"/>
      <c r="U429"/>
      <c r="V429"/>
      <c r="W429"/>
      <c r="X429"/>
      <c r="Y429"/>
    </row>
    <row r="430" spans="1:25" x14ac:dyDescent="0.3">
      <c r="A430" s="174"/>
      <c r="B430" s="175"/>
      <c r="C430" s="22" t="s">
        <v>939</v>
      </c>
      <c r="D430" s="181"/>
      <c r="E430" s="1"/>
      <c r="F430" s="23"/>
      <c r="G430" s="22"/>
      <c r="H430" s="186">
        <v>280</v>
      </c>
      <c r="I430" s="125"/>
      <c r="J430" s="125"/>
      <c r="K430" s="125"/>
      <c r="L430" s="125"/>
      <c r="N430"/>
      <c r="P430"/>
      <c r="Q430" s="4"/>
      <c r="R430"/>
      <c r="S430"/>
      <c r="T430"/>
      <c r="U430"/>
      <c r="V430"/>
      <c r="W430"/>
      <c r="X430"/>
      <c r="Y430"/>
    </row>
    <row r="431" spans="1:25" x14ac:dyDescent="0.3">
      <c r="A431" s="174"/>
      <c r="B431" s="175"/>
      <c r="C431"/>
      <c r="D431" s="181"/>
      <c r="E431" s="1"/>
      <c r="F431"/>
      <c r="G431" s="1"/>
      <c r="H431" s="125"/>
      <c r="I431" s="125"/>
      <c r="J431" s="125"/>
      <c r="K431" s="125"/>
      <c r="L431" s="125"/>
      <c r="N431"/>
      <c r="P431"/>
      <c r="Q431" s="4"/>
      <c r="R431"/>
      <c r="S431"/>
      <c r="T431"/>
      <c r="U431"/>
      <c r="V431"/>
      <c r="W431"/>
      <c r="X431"/>
      <c r="Y431"/>
    </row>
    <row r="432" spans="1:25" x14ac:dyDescent="0.3">
      <c r="A432" s="174"/>
      <c r="B432" s="175"/>
      <c r="C432"/>
      <c r="D432" s="181"/>
      <c r="E432" s="1"/>
      <c r="F432"/>
      <c r="G432" s="1"/>
      <c r="H432" s="125"/>
      <c r="I432" s="125"/>
      <c r="J432" s="125"/>
      <c r="K432" s="125"/>
      <c r="L432" s="125"/>
      <c r="N432"/>
      <c r="P432"/>
      <c r="Q432" s="4"/>
      <c r="R432"/>
      <c r="S432"/>
      <c r="T432"/>
      <c r="U432"/>
      <c r="V432"/>
      <c r="W432"/>
      <c r="X432"/>
      <c r="Y432"/>
    </row>
    <row r="433" spans="1:25" x14ac:dyDescent="0.3">
      <c r="A433" s="174"/>
      <c r="B433" s="175"/>
      <c r="C433"/>
      <c r="D433" s="181"/>
      <c r="E433" s="1"/>
      <c r="F433"/>
      <c r="G433" s="1"/>
      <c r="H433" s="125"/>
      <c r="I433" s="125"/>
      <c r="J433" s="125"/>
      <c r="K433" s="125"/>
      <c r="L433" s="125"/>
      <c r="N433"/>
      <c r="P433"/>
      <c r="Q433" s="4"/>
      <c r="R433"/>
      <c r="S433"/>
      <c r="T433"/>
      <c r="U433"/>
      <c r="V433"/>
      <c r="W433"/>
      <c r="X433"/>
      <c r="Y433"/>
    </row>
    <row r="434" spans="1:25" x14ac:dyDescent="0.3">
      <c r="A434" s="174"/>
      <c r="B434" s="194"/>
      <c r="C434"/>
      <c r="D434" s="181"/>
      <c r="E434" s="1"/>
      <c r="F434"/>
      <c r="G434" s="1"/>
      <c r="H434" s="125"/>
      <c r="I434" s="125"/>
      <c r="J434" s="125"/>
      <c r="K434" s="125"/>
      <c r="L434" s="125"/>
      <c r="N434"/>
      <c r="P434"/>
      <c r="Q434" s="4"/>
      <c r="R434"/>
      <c r="S434"/>
      <c r="T434"/>
      <c r="U434"/>
      <c r="V434"/>
      <c r="W434"/>
      <c r="X434"/>
      <c r="Y434"/>
    </row>
  </sheetData>
  <phoneticPr fontId="9" type="noConversion"/>
  <pageMargins left="0.31496062992125984" right="0.31496062992125984" top="0.74803149606299213" bottom="0.74803149606299213" header="0.31496062992125984" footer="0.31496062992125984"/>
  <pageSetup paperSize="9" scale="58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53"/>
  <sheetViews>
    <sheetView workbookViewId="0">
      <pane xSplit="2" ySplit="1" topLeftCell="D2" activePane="bottomRight" state="frozen"/>
      <selection activeCell="B37" sqref="B37"/>
      <selection pane="topRight" activeCell="B37" sqref="B37"/>
      <selection pane="bottomLeft" activeCell="B37" sqref="B37"/>
      <selection pane="bottomRight" activeCell="C24" sqref="C24"/>
    </sheetView>
  </sheetViews>
  <sheetFormatPr defaultColWidth="8.7265625" defaultRowHeight="13" x14ac:dyDescent="0.35"/>
  <cols>
    <col min="1" max="1" width="30.453125" style="9" bestFit="1" customWidth="1"/>
    <col min="2" max="2" width="9.453125" style="9" customWidth="1"/>
    <col min="3" max="4" width="11.1796875" style="9" bestFit="1" customWidth="1"/>
    <col min="5" max="6" width="10.81640625" style="9" bestFit="1" customWidth="1"/>
    <col min="7" max="7" width="11.1796875" style="9" bestFit="1" customWidth="1"/>
    <col min="8" max="8" width="11.453125" style="9" bestFit="1" customWidth="1"/>
    <col min="9" max="10" width="11.1796875" style="9" bestFit="1" customWidth="1"/>
    <col min="11" max="11" width="10.36328125" style="9" bestFit="1" customWidth="1"/>
    <col min="12" max="12" width="10.54296875" style="9" bestFit="1" customWidth="1"/>
    <col min="13" max="13" width="10.36328125" style="9" bestFit="1" customWidth="1"/>
    <col min="14" max="15" width="10.54296875" style="9" bestFit="1" customWidth="1"/>
    <col min="16" max="16" width="11.453125" style="9" bestFit="1" customWidth="1"/>
    <col min="17" max="17" width="11.08984375" style="14" bestFit="1" customWidth="1"/>
    <col min="18" max="16384" width="8.7265625" style="9"/>
  </cols>
  <sheetData>
    <row r="1" spans="1:17" s="10" customFormat="1" x14ac:dyDescent="0.35">
      <c r="C1" s="66" t="s">
        <v>24</v>
      </c>
      <c r="D1" s="66" t="s">
        <v>25</v>
      </c>
      <c r="E1" s="66" t="s">
        <v>26</v>
      </c>
      <c r="F1" s="66" t="s">
        <v>27</v>
      </c>
      <c r="G1" s="66" t="s">
        <v>516</v>
      </c>
      <c r="H1" s="66" t="s">
        <v>28</v>
      </c>
      <c r="I1" s="66" t="s">
        <v>520</v>
      </c>
      <c r="J1" s="66" t="s">
        <v>521</v>
      </c>
      <c r="K1" s="66" t="s">
        <v>29</v>
      </c>
      <c r="L1" s="66" t="s">
        <v>30</v>
      </c>
      <c r="M1" s="66" t="s">
        <v>31</v>
      </c>
      <c r="N1" s="66" t="s">
        <v>32</v>
      </c>
      <c r="O1" s="66" t="s">
        <v>33</v>
      </c>
      <c r="P1" s="66" t="s">
        <v>34</v>
      </c>
      <c r="Q1" s="67" t="s">
        <v>35</v>
      </c>
    </row>
    <row r="2" spans="1:17" x14ac:dyDescent="0.3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/>
    </row>
    <row r="3" spans="1:17" x14ac:dyDescent="0.35">
      <c r="A3" s="9" t="s">
        <v>36</v>
      </c>
      <c r="C3" s="68"/>
      <c r="D3" s="71">
        <f>SUMIFS('CASH BOOK 2018'!$K:$K,'CASH BOOK 2018'!$B:$B,'CASHFLOW 2018'!D$1,'CASH BOOK 2018'!$D:$D,'CASHFLOW 2018'!$A3)</f>
        <v>8967.18</v>
      </c>
      <c r="E3" s="71">
        <f>SUMIFS('CASH BOOK 2018'!$K:$K,'CASH BOOK 2018'!$B:$B,'CASHFLOW 2018'!E$1,'CASH BOOK 2018'!$D:$D,'CASHFLOW 2018'!$A3)</f>
        <v>171.5</v>
      </c>
      <c r="F3" s="71">
        <f>SUMIFS('CASH BOOK 2018'!$K:$K,'CASH BOOK 2018'!$B:$B,'CASHFLOW 2018'!F$1,'CASH BOOK 2018'!$D:$D,'CASHFLOW 2018'!$A3)</f>
        <v>0</v>
      </c>
      <c r="G3" s="71">
        <f>SUMIFS('CASH BOOK 2018'!$K:$K,'CASH BOOK 2018'!$B:$B,'CASHFLOW 2018'!G$1,'CASH BOOK 2018'!$D:$D,'CASHFLOW 2018'!$A3)</f>
        <v>2995</v>
      </c>
      <c r="H3" s="71">
        <f>SUMIFS('CASH BOOK 2018'!$K:$K,'CASH BOOK 2018'!$B:$B,'CASHFLOW 2018'!H$1,'CASH BOOK 2018'!$D:$D,'CASHFLOW 2018'!$A3)</f>
        <v>272</v>
      </c>
      <c r="I3" s="71">
        <f>SUMIFS('CASH BOOK 2018'!$K:$K,'CASH BOOK 2018'!$B:$B,'CASHFLOW 2018'!I$1,'CASH BOOK 2018'!$D:$D,'CASHFLOW 2018'!$A3)</f>
        <v>598.30999999999995</v>
      </c>
      <c r="J3" s="71">
        <f>SUMIFS('CASH BOOK 2018'!$K:$K,'CASH BOOK 2018'!$B:$B,'CASHFLOW 2018'!J$1,'CASH BOOK 2018'!$D:$D,'CASHFLOW 2018'!$A3)</f>
        <v>0</v>
      </c>
      <c r="K3" s="71">
        <f>SUMIFS('CASH BOOK 2018'!$K:$K,'CASH BOOK 2018'!$B:$B,'CASHFLOW 2018'!K$1,'CASH BOOK 2018'!$D:$D,'CASHFLOW 2018'!$A3)</f>
        <v>0</v>
      </c>
      <c r="L3" s="71">
        <f>SUMIFS('CASH BOOK 2018'!$K:$K,'CASH BOOK 2018'!$B:$B,'CASHFLOW 2018'!L$1,'CASH BOOK 2018'!$D:$D,'CASHFLOW 2018'!$A3)</f>
        <v>3758.5</v>
      </c>
      <c r="M3" s="71">
        <f>SUMIFS('CASH BOOK 2018'!$K:$K,'CASH BOOK 2018'!$B:$B,'CASHFLOW 2018'!M$1,'CASH BOOK 2018'!$D:$D,'CASHFLOW 2018'!$A3)</f>
        <v>0</v>
      </c>
      <c r="N3" s="71">
        <f>SUMIFS('CASH BOOK 2018'!$K:$K,'CASH BOOK 2018'!$B:$B,'CASHFLOW 2018'!N$1,'CASH BOOK 2018'!$D:$D,'CASHFLOW 2018'!$A3)</f>
        <v>769.3</v>
      </c>
      <c r="O3" s="71">
        <f>SUMIFS('CASH BOOK 2018'!$K:$K,'CASH BOOK 2018'!$B:$B,'CASHFLOW 2018'!O$1,'CASH BOOK 2018'!$D:$D,'CASHFLOW 2018'!$A3)</f>
        <v>328.3</v>
      </c>
      <c r="P3" s="92">
        <f t="shared" ref="P3:P11" si="0">SUM(D3:O3)</f>
        <v>17860.089999999997</v>
      </c>
      <c r="Q3" s="70">
        <v>18500</v>
      </c>
    </row>
    <row r="4" spans="1:17" x14ac:dyDescent="0.35">
      <c r="A4" s="9" t="s">
        <v>37</v>
      </c>
      <c r="C4" s="68"/>
      <c r="D4" s="71">
        <f>SUMIFS('CASH BOOK 2018'!$K:$K,'CASH BOOK 2018'!$B:$B,'CASHFLOW 2018'!D$1,'CASH BOOK 2018'!$D:$D,'CASHFLOW 2018'!$A4)</f>
        <v>693.85</v>
      </c>
      <c r="E4" s="71">
        <f>SUMIFS('CASH BOOK 2018'!$K:$K,'CASH BOOK 2018'!$B:$B,'CASHFLOW 2018'!E$1,'CASH BOOK 2018'!$D:$D,'CASHFLOW 2018'!$A4)</f>
        <v>1001.5</v>
      </c>
      <c r="F4" s="71">
        <f>SUMIFS('CASH BOOK 2018'!$K:$K,'CASH BOOK 2018'!$B:$B,'CASHFLOW 2018'!F$1,'CASH BOOK 2018'!$D:$D,'CASHFLOW 2018'!$A4)</f>
        <v>490.5</v>
      </c>
      <c r="G4" s="71">
        <f>SUMIFS('CASH BOOK 2018'!$K:$K,'CASH BOOK 2018'!$B:$B,'CASHFLOW 2018'!G$1,'CASH BOOK 2018'!$D:$D,'CASHFLOW 2018'!$A4)</f>
        <v>585</v>
      </c>
      <c r="H4" s="71">
        <f>SUMIFS('CASH BOOK 2018'!$K:$K,'CASH BOOK 2018'!$B:$B,'CASHFLOW 2018'!H$1,'CASH BOOK 2018'!$D:$D,'CASHFLOW 2018'!$A4)</f>
        <v>-151</v>
      </c>
      <c r="I4" s="71">
        <f>SUMIFS('CASH BOOK 2018'!$K:$K,'CASH BOOK 2018'!$B:$B,'CASHFLOW 2018'!I$1,'CASH BOOK 2018'!$D:$D,'CASHFLOW 2018'!$A4)</f>
        <v>881.5</v>
      </c>
      <c r="J4" s="71">
        <f>SUMIFS('CASH BOOK 2018'!$K:$K,'CASH BOOK 2018'!$B:$B,'CASHFLOW 2018'!J$1,'CASH BOOK 2018'!$D:$D,'CASHFLOW 2018'!$A4)</f>
        <v>186</v>
      </c>
      <c r="K4" s="71">
        <f>SUMIFS('CASH BOOK 2018'!$K:$K,'CASH BOOK 2018'!$B:$B,'CASHFLOW 2018'!K$1,'CASH BOOK 2018'!$D:$D,'CASHFLOW 2018'!$A4)</f>
        <v>834</v>
      </c>
      <c r="L4" s="71">
        <f>SUMIFS('CASH BOOK 2018'!$K:$K,'CASH BOOK 2018'!$B:$B,'CASHFLOW 2018'!L$1,'CASH BOOK 2018'!$D:$D,'CASHFLOW 2018'!$A4)</f>
        <v>1104</v>
      </c>
      <c r="M4" s="71">
        <f>SUMIFS('CASH BOOK 2018'!$K:$K,'CASH BOOK 2018'!$B:$B,'CASHFLOW 2018'!M$1,'CASH BOOK 2018'!$D:$D,'CASHFLOW 2018'!$A4)</f>
        <v>430.75</v>
      </c>
      <c r="N4" s="71">
        <f>SUMIFS('CASH BOOK 2018'!$K:$K,'CASH BOOK 2018'!$B:$B,'CASHFLOW 2018'!N$1,'CASH BOOK 2018'!$D:$D,'CASHFLOW 2018'!$A4)</f>
        <v>325.5</v>
      </c>
      <c r="O4" s="71">
        <f>SUMIFS('CASH BOOK 2018'!$K:$K,'CASH BOOK 2018'!$B:$B,'CASHFLOW 2018'!O$1,'CASH BOOK 2018'!$D:$D,'CASHFLOW 2018'!$A4)</f>
        <v>240.05</v>
      </c>
      <c r="P4" s="69">
        <f t="shared" si="0"/>
        <v>6621.6500000000005</v>
      </c>
      <c r="Q4" s="70">
        <v>5000</v>
      </c>
    </row>
    <row r="5" spans="1:17" x14ac:dyDescent="0.35">
      <c r="A5" s="9" t="s">
        <v>622</v>
      </c>
      <c r="C5" s="68"/>
      <c r="D5" s="71">
        <f>SUMIFS('CASH BOOK 2018'!$K:$K,'CASH BOOK 2018'!$B:$B,'CASHFLOW 2018'!D$1,'CASH BOOK 2018'!$D:$D,'CASHFLOW 2018'!$A5)</f>
        <v>30</v>
      </c>
      <c r="E5" s="71">
        <f>SUMIFS('CASH BOOK 2018'!$K:$K,'CASH BOOK 2018'!$B:$B,'CASHFLOW 2018'!E$1,'CASH BOOK 2018'!$D:$D,'CASHFLOW 2018'!$A5)</f>
        <v>0</v>
      </c>
      <c r="F5" s="71">
        <f>SUMIFS('CASH BOOK 2018'!$K:$K,'CASH BOOK 2018'!$B:$B,'CASHFLOW 2018'!F$1,'CASH BOOK 2018'!$D:$D,'CASHFLOW 2018'!$A5)</f>
        <v>0</v>
      </c>
      <c r="G5" s="71">
        <f>SUMIFS('CASH BOOK 2018'!$K:$K,'CASH BOOK 2018'!$B:$B,'CASHFLOW 2018'!G$1,'CASH BOOK 2018'!$D:$D,'CASHFLOW 2018'!$A5)</f>
        <v>0</v>
      </c>
      <c r="H5" s="71">
        <f>SUMIFS('CASH BOOK 2018'!$K:$K,'CASH BOOK 2018'!$B:$B,'CASHFLOW 2018'!H$1,'CASH BOOK 2018'!$D:$D,'CASHFLOW 2018'!$A5)</f>
        <v>0</v>
      </c>
      <c r="I5" s="71">
        <f>SUMIFS('CASH BOOK 2018'!$K:$K,'CASH BOOK 2018'!$B:$B,'CASHFLOW 2018'!I$1,'CASH BOOK 2018'!$D:$D,'CASHFLOW 2018'!$A5)</f>
        <v>0</v>
      </c>
      <c r="J5" s="71">
        <f>SUMIFS('CASH BOOK 2018'!$K:$K,'CASH BOOK 2018'!$B:$B,'CASHFLOW 2018'!J$1,'CASH BOOK 2018'!$D:$D,'CASHFLOW 2018'!$A5)</f>
        <v>0</v>
      </c>
      <c r="K5" s="71">
        <f>SUMIFS('CASH BOOK 2018'!$K:$K,'CASH BOOK 2018'!$B:$B,'CASHFLOW 2018'!K$1,'CASH BOOK 2018'!$D:$D,'CASHFLOW 2018'!$A5)</f>
        <v>0</v>
      </c>
      <c r="L5" s="71">
        <f>SUMIFS('CASH BOOK 2018'!$K:$K,'CASH BOOK 2018'!$B:$B,'CASHFLOW 2018'!L$1,'CASH BOOK 2018'!$D:$D,'CASHFLOW 2018'!$A5)</f>
        <v>0</v>
      </c>
      <c r="M5" s="71">
        <f>SUMIFS('CASH BOOK 2018'!$K:$K,'CASH BOOK 2018'!$B:$B,'CASHFLOW 2018'!M$1,'CASH BOOK 2018'!$D:$D,'CASHFLOW 2018'!$A5)</f>
        <v>0</v>
      </c>
      <c r="N5" s="71">
        <f>SUMIFS('CASH BOOK 2018'!$K:$K,'CASH BOOK 2018'!$B:$B,'CASHFLOW 2018'!N$1,'CASH BOOK 2018'!$D:$D,'CASHFLOW 2018'!$A5)</f>
        <v>0</v>
      </c>
      <c r="O5" s="71">
        <f>SUMIFS('CASH BOOK 2018'!$K:$K,'CASH BOOK 2018'!$B:$B,'CASHFLOW 2018'!O$1,'CASH BOOK 2018'!$D:$D,'CASHFLOW 2018'!$A5)</f>
        <v>0</v>
      </c>
      <c r="P5" s="69">
        <f t="shared" si="0"/>
        <v>30</v>
      </c>
      <c r="Q5" s="70">
        <v>0</v>
      </c>
    </row>
    <row r="6" spans="1:17" ht="13.5" x14ac:dyDescent="0.35">
      <c r="A6" s="7" t="s">
        <v>317</v>
      </c>
      <c r="C6" s="68"/>
      <c r="D6" s="71">
        <f>SUMIFS('CASH BOOK 2018'!$K:$K,'CASH BOOK 2018'!$B:$B,'CASHFLOW 2018'!D$1,'CASH BOOK 2018'!$D:$D,'CASHFLOW 2018'!$A6)</f>
        <v>0</v>
      </c>
      <c r="E6" s="71">
        <f>SUMIFS('CASH BOOK 2018'!$K:$K,'CASH BOOK 2018'!$B:$B,'CASHFLOW 2018'!E$1,'CASH BOOK 2018'!$D:$D,'CASHFLOW 2018'!$A6)</f>
        <v>0</v>
      </c>
      <c r="F6" s="71">
        <f>SUMIFS('CASH BOOK 2018'!$K:$K,'CASH BOOK 2018'!$B:$B,'CASHFLOW 2018'!F$1,'CASH BOOK 2018'!$D:$D,'CASHFLOW 2018'!$A6)</f>
        <v>0</v>
      </c>
      <c r="G6" s="71">
        <f>SUMIFS('CASH BOOK 2018'!$K:$K,'CASH BOOK 2018'!$B:$B,'CASHFLOW 2018'!G$1,'CASH BOOK 2018'!$D:$D,'CASHFLOW 2018'!$A6)</f>
        <v>0</v>
      </c>
      <c r="H6" s="71">
        <f>SUMIFS('CASH BOOK 2018'!$K:$K,'CASH BOOK 2018'!$B:$B,'CASHFLOW 2018'!H$1,'CASH BOOK 2018'!$D:$D,'CASHFLOW 2018'!$A6)</f>
        <v>0</v>
      </c>
      <c r="I6" s="71">
        <f>SUMIFS('CASH BOOK 2018'!$K:$K,'CASH BOOK 2018'!$B:$B,'CASHFLOW 2018'!I$1,'CASH BOOK 2018'!$D:$D,'CASHFLOW 2018'!$A6)</f>
        <v>0</v>
      </c>
      <c r="J6" s="71">
        <f>SUMIFS('CASH BOOK 2018'!$K:$K,'CASH BOOK 2018'!$B:$B,'CASHFLOW 2018'!J$1,'CASH BOOK 2018'!$D:$D,'CASHFLOW 2018'!$A6)</f>
        <v>0</v>
      </c>
      <c r="K6" s="71">
        <f>SUMIFS('CASH BOOK 2018'!$K:$K,'CASH BOOK 2018'!$B:$B,'CASHFLOW 2018'!K$1,'CASH BOOK 2018'!$D:$D,'CASHFLOW 2018'!$A6)</f>
        <v>0</v>
      </c>
      <c r="L6" s="71">
        <f>SUMIFS('CASH BOOK 2018'!$K:$K,'CASH BOOK 2018'!$B:$B,'CASHFLOW 2018'!L$1,'CASH BOOK 2018'!$D:$D,'CASHFLOW 2018'!$A6)</f>
        <v>0</v>
      </c>
      <c r="M6" s="71">
        <f>SUMIFS('CASH BOOK 2018'!$K:$K,'CASH BOOK 2018'!$B:$B,'CASHFLOW 2018'!M$1,'CASH BOOK 2018'!$D:$D,'CASHFLOW 2018'!$A6)</f>
        <v>0</v>
      </c>
      <c r="N6" s="71">
        <f>SUMIFS('CASH BOOK 2018'!$K:$K,'CASH BOOK 2018'!$B:$B,'CASHFLOW 2018'!N$1,'CASH BOOK 2018'!$D:$D,'CASHFLOW 2018'!$A6)</f>
        <v>0</v>
      </c>
      <c r="O6" s="71">
        <f>SUMIFS('CASH BOOK 2018'!$K:$K,'CASH BOOK 2018'!$B:$B,'CASHFLOW 2018'!O$1,'CASH BOOK 2018'!$D:$D,'CASHFLOW 2018'!$A6)</f>
        <v>0</v>
      </c>
      <c r="P6" s="69">
        <f t="shared" si="0"/>
        <v>0</v>
      </c>
      <c r="Q6" s="70"/>
    </row>
    <row r="7" spans="1:17" ht="13.5" x14ac:dyDescent="0.35">
      <c r="A7" s="7" t="s">
        <v>318</v>
      </c>
      <c r="C7" s="68"/>
      <c r="D7" s="71">
        <f>SUMIFS('CASH BOOK 2018'!$K:$K,'CASH BOOK 2018'!$B:$B,'CASHFLOW 2018'!D$1,'CASH BOOK 2018'!$D:$D,'CASHFLOW 2018'!$A7)</f>
        <v>0</v>
      </c>
      <c r="E7" s="71">
        <f>SUMIFS('CASH BOOK 2018'!$K:$K,'CASH BOOK 2018'!$B:$B,'CASHFLOW 2018'!E$1,'CASH BOOK 2018'!$D:$D,'CASHFLOW 2018'!$A7)</f>
        <v>0</v>
      </c>
      <c r="F7" s="71">
        <f>SUMIFS('CASH BOOK 2018'!$K:$K,'CASH BOOK 2018'!$B:$B,'CASHFLOW 2018'!F$1,'CASH BOOK 2018'!$D:$D,'CASHFLOW 2018'!$A7)</f>
        <v>0</v>
      </c>
      <c r="G7" s="71">
        <f>SUMIFS('CASH BOOK 2018'!$K:$K,'CASH BOOK 2018'!$B:$B,'CASHFLOW 2018'!G$1,'CASH BOOK 2018'!$D:$D,'CASHFLOW 2018'!$A7)</f>
        <v>0</v>
      </c>
      <c r="H7" s="71">
        <f>SUMIFS('CASH BOOK 2018'!$K:$K,'CASH BOOK 2018'!$B:$B,'CASHFLOW 2018'!H$1,'CASH BOOK 2018'!$D:$D,'CASHFLOW 2018'!$A7)</f>
        <v>0</v>
      </c>
      <c r="I7" s="71">
        <f>SUMIFS('CASH BOOK 2018'!$K:$K,'CASH BOOK 2018'!$B:$B,'CASHFLOW 2018'!I$1,'CASH BOOK 2018'!$D:$D,'CASHFLOW 2018'!$A7)</f>
        <v>0</v>
      </c>
      <c r="J7" s="71">
        <f>SUMIFS('CASH BOOK 2018'!$K:$K,'CASH BOOK 2018'!$B:$B,'CASHFLOW 2018'!J$1,'CASH BOOK 2018'!$D:$D,'CASHFLOW 2018'!$A7)</f>
        <v>0</v>
      </c>
      <c r="K7" s="71">
        <f>SUMIFS('CASH BOOK 2018'!$K:$K,'CASH BOOK 2018'!$B:$B,'CASHFLOW 2018'!K$1,'CASH BOOK 2018'!$D:$D,'CASHFLOW 2018'!$A7)</f>
        <v>0</v>
      </c>
      <c r="L7" s="71">
        <f>SUMIFS('CASH BOOK 2018'!$K:$K,'CASH BOOK 2018'!$B:$B,'CASHFLOW 2018'!L$1,'CASH BOOK 2018'!$D:$D,'CASHFLOW 2018'!$A7)</f>
        <v>0</v>
      </c>
      <c r="M7" s="71">
        <f>SUMIFS('CASH BOOK 2018'!$K:$K,'CASH BOOK 2018'!$B:$B,'CASHFLOW 2018'!M$1,'CASH BOOK 2018'!$D:$D,'CASHFLOW 2018'!$A7)</f>
        <v>0</v>
      </c>
      <c r="N7" s="71">
        <f>SUMIFS('CASH BOOK 2018'!$K:$K,'CASH BOOK 2018'!$B:$B,'CASHFLOW 2018'!N$1,'CASH BOOK 2018'!$D:$D,'CASHFLOW 2018'!$A7)</f>
        <v>0</v>
      </c>
      <c r="O7" s="71">
        <f>SUMIFS('CASH BOOK 2018'!$K:$K,'CASH BOOK 2018'!$B:$B,'CASHFLOW 2018'!O$1,'CASH BOOK 2018'!$D:$D,'CASHFLOW 2018'!$A7)</f>
        <v>0</v>
      </c>
      <c r="P7" s="69">
        <f t="shared" si="0"/>
        <v>0</v>
      </c>
      <c r="Q7" s="70"/>
    </row>
    <row r="8" spans="1:17" x14ac:dyDescent="0.35">
      <c r="A8" s="9" t="s">
        <v>4</v>
      </c>
      <c r="C8" s="68"/>
      <c r="D8" s="71">
        <f>SUMIFS('CASH BOOK 2018'!$K:$K,'CASH BOOK 2018'!$B:$B,'CASHFLOW 2018'!D$1,'CASH BOOK 2018'!$D:$D,'CASHFLOW 2018'!$A8)</f>
        <v>0</v>
      </c>
      <c r="E8" s="71">
        <f>SUMIFS('CASH BOOK 2018'!$K:$K,'CASH BOOK 2018'!$B:$B,'CASHFLOW 2018'!E$1,'CASH BOOK 2018'!$D:$D,'CASHFLOW 2018'!$A8)</f>
        <v>0</v>
      </c>
      <c r="F8" s="71">
        <f>SUMIFS('CASH BOOK 2018'!$K:$K,'CASH BOOK 2018'!$B:$B,'CASHFLOW 2018'!F$1,'CASH BOOK 2018'!$D:$D,'CASHFLOW 2018'!$A8)</f>
        <v>0</v>
      </c>
      <c r="G8" s="71">
        <f>SUMIFS('CASH BOOK 2018'!$K:$K,'CASH BOOK 2018'!$B:$B,'CASHFLOW 2018'!G$1,'CASH BOOK 2018'!$D:$D,'CASHFLOW 2018'!$A8)</f>
        <v>0</v>
      </c>
      <c r="H8" s="71">
        <f>SUMIFS('CASH BOOK 2018'!$K:$K,'CASH BOOK 2018'!$B:$B,'CASHFLOW 2018'!H$1,'CASH BOOK 2018'!$D:$D,'CASHFLOW 2018'!$A8)</f>
        <v>0</v>
      </c>
      <c r="I8" s="71">
        <f>SUMIFS('CASH BOOK 2018'!$K:$K,'CASH BOOK 2018'!$B:$B,'CASHFLOW 2018'!I$1,'CASH BOOK 2018'!$D:$D,'CASHFLOW 2018'!$A8)</f>
        <v>0</v>
      </c>
      <c r="J8" s="71">
        <f>SUMIFS('CASH BOOK 2018'!$K:$K,'CASH BOOK 2018'!$B:$B,'CASHFLOW 2018'!J$1,'CASH BOOK 2018'!$D:$D,'CASHFLOW 2018'!$A8)</f>
        <v>0</v>
      </c>
      <c r="K8" s="71">
        <f>SUMIFS('CASH BOOK 2018'!$K:$K,'CASH BOOK 2018'!$B:$B,'CASHFLOW 2018'!K$1,'CASH BOOK 2018'!$D:$D,'CASHFLOW 2018'!$A8)</f>
        <v>0</v>
      </c>
      <c r="L8" s="71">
        <f>SUMIFS('CASH BOOK 2018'!$K:$K,'CASH BOOK 2018'!$B:$B,'CASHFLOW 2018'!L$1,'CASH BOOK 2018'!$D:$D,'CASHFLOW 2018'!$A8)</f>
        <v>0</v>
      </c>
      <c r="M8" s="71">
        <f>SUMIFS('CASH BOOK 2018'!$K:$K,'CASH BOOK 2018'!$B:$B,'CASHFLOW 2018'!M$1,'CASH BOOK 2018'!$D:$D,'CASHFLOW 2018'!$A8)</f>
        <v>0</v>
      </c>
      <c r="N8" s="71">
        <f>SUMIFS('CASH BOOK 2018'!$K:$K,'CASH BOOK 2018'!$B:$B,'CASHFLOW 2018'!N$1,'CASH BOOK 2018'!$D:$D,'CASHFLOW 2018'!$A8)</f>
        <v>0</v>
      </c>
      <c r="O8" s="71">
        <f>SUMIFS('CASH BOOK 2018'!$K:$K,'CASH BOOK 2018'!$B:$B,'CASHFLOW 2018'!O$1,'CASH BOOK 2018'!$D:$D,'CASHFLOW 2018'!$A8)</f>
        <v>0</v>
      </c>
      <c r="P8" s="92">
        <f t="shared" si="0"/>
        <v>0</v>
      </c>
      <c r="Q8" s="70">
        <v>0</v>
      </c>
    </row>
    <row r="9" spans="1:17" x14ac:dyDescent="0.35">
      <c r="A9" s="9" t="s">
        <v>38</v>
      </c>
      <c r="C9" s="68"/>
      <c r="D9" s="71">
        <f>SUMIFS('CASH BOOK 2018'!$K:$K,'CASH BOOK 2018'!$B:$B,'CASHFLOW 2018'!D$1,'CASH BOOK 2018'!$D:$D,'CASHFLOW 2018'!$A9)</f>
        <v>0</v>
      </c>
      <c r="E9" s="71">
        <f>SUMIFS('CASH BOOK 2018'!$K:$K,'CASH BOOK 2018'!$B:$B,'CASHFLOW 2018'!E$1,'CASH BOOK 2018'!$D:$D,'CASHFLOW 2018'!$A9)</f>
        <v>0</v>
      </c>
      <c r="F9" s="71">
        <f>SUMIFS('CASH BOOK 2018'!$K:$K,'CASH BOOK 2018'!$B:$B,'CASHFLOW 2018'!F$1,'CASH BOOK 2018'!$D:$D,'CASHFLOW 2018'!$A9)</f>
        <v>0</v>
      </c>
      <c r="G9" s="71">
        <f>SUMIFS('CASH BOOK 2018'!$K:$K,'CASH BOOK 2018'!$B:$B,'CASHFLOW 2018'!G$1,'CASH BOOK 2018'!$D:$D,'CASHFLOW 2018'!$A9)</f>
        <v>0</v>
      </c>
      <c r="H9" s="71">
        <f>SUMIFS('CASH BOOK 2018'!$K:$K,'CASH BOOK 2018'!$B:$B,'CASHFLOW 2018'!H$1,'CASH BOOK 2018'!$D:$D,'CASHFLOW 2018'!$A9)</f>
        <v>0</v>
      </c>
      <c r="I9" s="71">
        <f>SUMIFS('CASH BOOK 2018'!$K:$K,'CASH BOOK 2018'!$B:$B,'CASHFLOW 2018'!I$1,'CASH BOOK 2018'!$D:$D,'CASHFLOW 2018'!$A9)</f>
        <v>0</v>
      </c>
      <c r="J9" s="71">
        <f>SUMIFS('CASH BOOK 2018'!$K:$K,'CASH BOOK 2018'!$B:$B,'CASHFLOW 2018'!J$1,'CASH BOOK 2018'!$D:$D,'CASHFLOW 2018'!$A9)</f>
        <v>0</v>
      </c>
      <c r="K9" s="71">
        <f>SUMIFS('CASH BOOK 2018'!$K:$K,'CASH BOOK 2018'!$B:$B,'CASHFLOW 2018'!K$1,'CASH BOOK 2018'!$D:$D,'CASHFLOW 2018'!$A9)</f>
        <v>0</v>
      </c>
      <c r="L9" s="71">
        <f>SUMIFS('CASH BOOK 2018'!$K:$K,'CASH BOOK 2018'!$B:$B,'CASHFLOW 2018'!L$1,'CASH BOOK 2018'!$D:$D,'CASHFLOW 2018'!$A9)</f>
        <v>0</v>
      </c>
      <c r="M9" s="71">
        <f>SUMIFS('CASH BOOK 2018'!$K:$K,'CASH BOOK 2018'!$B:$B,'CASHFLOW 2018'!M$1,'CASH BOOK 2018'!$D:$D,'CASHFLOW 2018'!$A9)</f>
        <v>0</v>
      </c>
      <c r="N9" s="71">
        <f>SUMIFS('CASH BOOK 2018'!$K:$K,'CASH BOOK 2018'!$B:$B,'CASHFLOW 2018'!N$1,'CASH BOOK 2018'!$D:$D,'CASHFLOW 2018'!$A9)</f>
        <v>0</v>
      </c>
      <c r="O9" s="71">
        <f>SUMIFS('CASH BOOK 2018'!$K:$K,'CASH BOOK 2018'!$B:$B,'CASHFLOW 2018'!O$1,'CASH BOOK 2018'!$D:$D,'CASHFLOW 2018'!$A9)</f>
        <v>0</v>
      </c>
      <c r="P9" s="69">
        <f t="shared" si="0"/>
        <v>0</v>
      </c>
      <c r="Q9" s="70">
        <v>0</v>
      </c>
    </row>
    <row r="10" spans="1:17" x14ac:dyDescent="0.35">
      <c r="A10" s="9" t="s">
        <v>86</v>
      </c>
      <c r="C10" s="68"/>
      <c r="D10" s="71">
        <f>SUMIFS('CASH BOOK 2018'!$K:$K,'CASH BOOK 2018'!$B:$B,'CASHFLOW 2018'!D$1,'CASH BOOK 2018'!$D:$D,'CASHFLOW 2018'!$A10)</f>
        <v>0</v>
      </c>
      <c r="E10" s="71">
        <f>SUMIFS('CASH BOOK 2018'!$K:$K,'CASH BOOK 2018'!$B:$B,'CASHFLOW 2018'!E$1,'CASH BOOK 2018'!$D:$D,'CASHFLOW 2018'!$A10)</f>
        <v>0</v>
      </c>
      <c r="F10" s="71">
        <f>SUMIFS('CASH BOOK 2018'!$K:$K,'CASH BOOK 2018'!$B:$B,'CASHFLOW 2018'!F$1,'CASH BOOK 2018'!$D:$D,'CASHFLOW 2018'!$A10)</f>
        <v>0</v>
      </c>
      <c r="G10" s="71">
        <f>SUMIFS('CASH BOOK 2018'!$K:$K,'CASH BOOK 2018'!$B:$B,'CASHFLOW 2018'!G$1,'CASH BOOK 2018'!$D:$D,'CASHFLOW 2018'!$A10)</f>
        <v>-100</v>
      </c>
      <c r="H10" s="71">
        <f>SUMIFS('CASH BOOK 2018'!$K:$K,'CASH BOOK 2018'!$B:$B,'CASHFLOW 2018'!H$1,'CASH BOOK 2018'!$D:$D,'CASHFLOW 2018'!$A10)</f>
        <v>0</v>
      </c>
      <c r="I10" s="71">
        <f>SUMIFS('CASH BOOK 2018'!$K:$K,'CASH BOOK 2018'!$B:$B,'CASHFLOW 2018'!I$1,'CASH BOOK 2018'!$D:$D,'CASHFLOW 2018'!$A10)</f>
        <v>15</v>
      </c>
      <c r="J10" s="71">
        <f>SUMIFS('CASH BOOK 2018'!$K:$K,'CASH BOOK 2018'!$B:$B,'CASHFLOW 2018'!J$1,'CASH BOOK 2018'!$D:$D,'CASHFLOW 2018'!$A10)</f>
        <v>0</v>
      </c>
      <c r="K10" s="71">
        <f>SUMIFS('CASH BOOK 2018'!$K:$K,'CASH BOOK 2018'!$B:$B,'CASHFLOW 2018'!K$1,'CASH BOOK 2018'!$D:$D,'CASHFLOW 2018'!$A10)</f>
        <v>0</v>
      </c>
      <c r="L10" s="71">
        <f>SUMIFS('CASH BOOK 2018'!$K:$K,'CASH BOOK 2018'!$B:$B,'CASHFLOW 2018'!L$1,'CASH BOOK 2018'!$D:$D,'CASHFLOW 2018'!$A10)</f>
        <v>15</v>
      </c>
      <c r="M10" s="71">
        <f>SUMIFS('CASH BOOK 2018'!$K:$K,'CASH BOOK 2018'!$B:$B,'CASHFLOW 2018'!M$1,'CASH BOOK 2018'!$D:$D,'CASHFLOW 2018'!$A10)</f>
        <v>15</v>
      </c>
      <c r="N10" s="71">
        <f>SUMIFS('CASH BOOK 2018'!$K:$K,'CASH BOOK 2018'!$B:$B,'CASHFLOW 2018'!N$1,'CASH BOOK 2018'!$D:$D,'CASHFLOW 2018'!$A10)</f>
        <v>0</v>
      </c>
      <c r="O10" s="71">
        <f>SUMIFS('CASH BOOK 2018'!$K:$K,'CASH BOOK 2018'!$B:$B,'CASHFLOW 2018'!O$1,'CASH BOOK 2018'!$D:$D,'CASHFLOW 2018'!$A10)</f>
        <v>0</v>
      </c>
      <c r="P10" s="69">
        <f t="shared" si="0"/>
        <v>-55</v>
      </c>
      <c r="Q10" s="70">
        <v>0</v>
      </c>
    </row>
    <row r="11" spans="1:17" x14ac:dyDescent="0.35">
      <c r="A11" s="9" t="s">
        <v>5</v>
      </c>
      <c r="C11" s="68"/>
      <c r="D11" s="71">
        <f>SUMIFS('CASH BOOK 2018'!$K:$K,'CASH BOOK 2018'!$B:$B,'CASHFLOW 2018'!D$1,'CASH BOOK 2018'!$D:$D,'CASHFLOW 2018'!$A11)</f>
        <v>0</v>
      </c>
      <c r="E11" s="71">
        <f>SUMIFS('CASH BOOK 2018'!$K:$K,'CASH BOOK 2018'!$B:$B,'CASHFLOW 2018'!E$1,'CASH BOOK 2018'!$D:$D,'CASHFLOW 2018'!$A11)</f>
        <v>120</v>
      </c>
      <c r="F11" s="71">
        <f>SUMIFS('CASH BOOK 2018'!$K:$K,'CASH BOOK 2018'!$B:$B,'CASHFLOW 2018'!F$1,'CASH BOOK 2018'!$D:$D,'CASHFLOW 2018'!$A11)</f>
        <v>0</v>
      </c>
      <c r="G11" s="71">
        <f>SUMIFS('CASH BOOK 2018'!$K:$K,'CASH BOOK 2018'!$B:$B,'CASHFLOW 2018'!G$1,'CASH BOOK 2018'!$D:$D,'CASHFLOW 2018'!$A11)</f>
        <v>0</v>
      </c>
      <c r="H11" s="71">
        <f>SUMIFS('CASH BOOK 2018'!$K:$K,'CASH BOOK 2018'!$B:$B,'CASHFLOW 2018'!H$1,'CASH BOOK 2018'!$D:$D,'CASHFLOW 2018'!$A11)</f>
        <v>0</v>
      </c>
      <c r="I11" s="71">
        <f>SUMIFS('CASH BOOK 2018'!$K:$K,'CASH BOOK 2018'!$B:$B,'CASHFLOW 2018'!I$1,'CASH BOOK 2018'!$D:$D,'CASHFLOW 2018'!$A11)</f>
        <v>100</v>
      </c>
      <c r="J11" s="71">
        <f>SUMIFS('CASH BOOK 2018'!$K:$K,'CASH BOOK 2018'!$B:$B,'CASHFLOW 2018'!J$1,'CASH BOOK 2018'!$D:$D,'CASHFLOW 2018'!$A11)</f>
        <v>0</v>
      </c>
      <c r="K11" s="71">
        <f>SUMIFS('CASH BOOK 2018'!$K:$K,'CASH BOOK 2018'!$B:$B,'CASHFLOW 2018'!K$1,'CASH BOOK 2018'!$D:$D,'CASHFLOW 2018'!$A11)</f>
        <v>0</v>
      </c>
      <c r="L11" s="71">
        <f>SUMIFS('CASH BOOK 2018'!$K:$K,'CASH BOOK 2018'!$B:$B,'CASHFLOW 2018'!L$1,'CASH BOOK 2018'!$D:$D,'CASHFLOW 2018'!$A11)</f>
        <v>0</v>
      </c>
      <c r="M11" s="71">
        <f>SUMIFS('CASH BOOK 2018'!$K:$K,'CASH BOOK 2018'!$B:$B,'CASHFLOW 2018'!M$1,'CASH BOOK 2018'!$D:$D,'CASHFLOW 2018'!$A11)</f>
        <v>0</v>
      </c>
      <c r="N11" s="71">
        <f>SUMIFS('CASH BOOK 2018'!$K:$K,'CASH BOOK 2018'!$B:$B,'CASHFLOW 2018'!N$1,'CASH BOOK 2018'!$D:$D,'CASHFLOW 2018'!$A11)</f>
        <v>361.68</v>
      </c>
      <c r="O11" s="71">
        <f>SUMIFS('CASH BOOK 2018'!$K:$K,'CASH BOOK 2018'!$B:$B,'CASHFLOW 2018'!O$1,'CASH BOOK 2018'!$D:$D,'CASHFLOW 2018'!$A11)</f>
        <v>0</v>
      </c>
      <c r="P11" s="69">
        <f t="shared" si="0"/>
        <v>581.68000000000006</v>
      </c>
      <c r="Q11" s="70">
        <v>750</v>
      </c>
    </row>
    <row r="12" spans="1:17" x14ac:dyDescent="0.35">
      <c r="C12" s="68"/>
      <c r="D12" s="72">
        <f>SUM(D3:D11)</f>
        <v>9691.0300000000007</v>
      </c>
      <c r="E12" s="72">
        <f>SUM(E3:E11)</f>
        <v>1293</v>
      </c>
      <c r="F12" s="72">
        <f>SUM(F3:F11)</f>
        <v>490.5</v>
      </c>
      <c r="G12" s="72">
        <f>SUM(G3:G11)</f>
        <v>3480</v>
      </c>
      <c r="H12" s="72">
        <f>SUM(H3:H11)</f>
        <v>121</v>
      </c>
      <c r="I12" s="72">
        <f t="shared" ref="I12:P12" si="1">SUM(I3:I11)</f>
        <v>1594.81</v>
      </c>
      <c r="J12" s="72">
        <f t="shared" si="1"/>
        <v>186</v>
      </c>
      <c r="K12" s="72">
        <f t="shared" si="1"/>
        <v>834</v>
      </c>
      <c r="L12" s="72">
        <f t="shared" si="1"/>
        <v>4877.5</v>
      </c>
      <c r="M12" s="72">
        <f t="shared" si="1"/>
        <v>445.75</v>
      </c>
      <c r="N12" s="72">
        <f t="shared" si="1"/>
        <v>1456.48</v>
      </c>
      <c r="O12" s="72">
        <f t="shared" si="1"/>
        <v>568.35</v>
      </c>
      <c r="P12" s="72">
        <f t="shared" si="1"/>
        <v>25038.42</v>
      </c>
      <c r="Q12" s="73">
        <f>SUM(Q3:Q11)</f>
        <v>24250</v>
      </c>
    </row>
    <row r="13" spans="1:17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1:17" x14ac:dyDescent="0.35">
      <c r="A14" s="9" t="s">
        <v>40</v>
      </c>
      <c r="C14" s="68"/>
      <c r="D14" s="71">
        <f>SUMIFS('CASH BOOK 2018'!$K:$K,'CASH BOOK 2018'!$B:$B,'CASHFLOW 2018'!D$1,'CASH BOOK 2018'!$D:$D,'CASHFLOW 2018'!$A14)</f>
        <v>0</v>
      </c>
      <c r="E14" s="71">
        <f>SUMIFS('CASH BOOK 2018'!$K:$K,'CASH BOOK 2018'!$B:$B,'CASHFLOW 2018'!E$1,'CASH BOOK 2018'!$D:$D,'CASHFLOW 2018'!$A14)</f>
        <v>-875.29</v>
      </c>
      <c r="F14" s="71">
        <f>SUMIFS('CASH BOOK 2018'!$K:$K,'CASH BOOK 2018'!$B:$B,'CASHFLOW 2018'!F$1,'CASH BOOK 2018'!$D:$D,'CASHFLOW 2018'!$A14)</f>
        <v>0</v>
      </c>
      <c r="G14" s="71">
        <f>SUMIFS('CASH BOOK 2018'!$K:$K,'CASH BOOK 2018'!$B:$B,'CASHFLOW 2018'!G$1,'CASH BOOK 2018'!$D:$D,'CASHFLOW 2018'!$A14)</f>
        <v>0</v>
      </c>
      <c r="H14" s="71">
        <f>SUMIFS('CASH BOOK 2018'!$K:$K,'CASH BOOK 2018'!$B:$B,'CASHFLOW 2018'!H$1,'CASH BOOK 2018'!$D:$D,'CASHFLOW 2018'!$A14)</f>
        <v>-2640</v>
      </c>
      <c r="I14" s="71">
        <f>SUMIFS('CASH BOOK 2018'!$K:$K,'CASH BOOK 2018'!$B:$B,'CASHFLOW 2018'!I$1,'CASH BOOK 2018'!$D:$D,'CASHFLOW 2018'!$A14)</f>
        <v>-1279.1699999999998</v>
      </c>
      <c r="J14" s="71">
        <f>SUMIFS('CASH BOOK 2018'!$K:$K,'CASH BOOK 2018'!$B:$B,'CASHFLOW 2018'!J$1,'CASH BOOK 2018'!$D:$D,'CASHFLOW 2018'!$A14)</f>
        <v>0</v>
      </c>
      <c r="K14" s="71">
        <f>SUMIFS('CASH BOOK 2018'!$K:$K,'CASH BOOK 2018'!$B:$B,'CASHFLOW 2018'!K$1,'CASH BOOK 2018'!$D:$D,'CASHFLOW 2018'!$A14)</f>
        <v>-285.12</v>
      </c>
      <c r="L14" s="71">
        <f>SUMIFS('CASH BOOK 2018'!$K:$K,'CASH BOOK 2018'!$B:$B,'CASHFLOW 2018'!L$1,'CASH BOOK 2018'!$D:$D,'CASHFLOW 2018'!$A14)</f>
        <v>-90</v>
      </c>
      <c r="M14" s="71">
        <f>SUMIFS('CASH BOOK 2018'!$K:$K,'CASH BOOK 2018'!$B:$B,'CASHFLOW 2018'!M$1,'CASH BOOK 2018'!$D:$D,'CASHFLOW 2018'!$A14)</f>
        <v>0</v>
      </c>
      <c r="N14" s="71">
        <f>SUMIFS('CASH BOOK 2018'!$K:$K,'CASH BOOK 2018'!$B:$B,'CASHFLOW 2018'!N$1,'CASH BOOK 2018'!$D:$D,'CASHFLOW 2018'!$A14)</f>
        <v>-663.5</v>
      </c>
      <c r="O14" s="71">
        <f>SUMIFS('CASH BOOK 2018'!$K:$K,'CASH BOOK 2018'!$B:$B,'CASHFLOW 2018'!O$1,'CASH BOOK 2018'!$D:$D,'CASHFLOW 2018'!$A14)</f>
        <v>0</v>
      </c>
      <c r="P14" s="69">
        <f t="shared" ref="P14:P28" si="2">SUM(D14:O14)</f>
        <v>-5833.08</v>
      </c>
      <c r="Q14" s="70">
        <v>5000</v>
      </c>
    </row>
    <row r="15" spans="1:17" x14ac:dyDescent="0.35">
      <c r="A15" s="9" t="s">
        <v>85</v>
      </c>
      <c r="C15" s="68"/>
      <c r="D15" s="71">
        <f>SUMIFS('CASH BOOK 2018'!$K:$K,'CASH BOOK 2018'!$B:$B,'CASHFLOW 2018'!D$1,'CASH BOOK 2018'!$D:$D,'CASHFLOW 2018'!$A15)</f>
        <v>0</v>
      </c>
      <c r="E15" s="71">
        <f>SUMIFS('CASH BOOK 2018'!$K:$K,'CASH BOOK 2018'!$B:$B,'CASHFLOW 2018'!E$1,'CASH BOOK 2018'!$D:$D,'CASHFLOW 2018'!$A15)</f>
        <v>0</v>
      </c>
      <c r="F15" s="71">
        <f>SUMIFS('CASH BOOK 2018'!$K:$K,'CASH BOOK 2018'!$B:$B,'CASHFLOW 2018'!F$1,'CASH BOOK 2018'!$D:$D,'CASHFLOW 2018'!$A15)</f>
        <v>0</v>
      </c>
      <c r="G15" s="71">
        <f>SUMIFS('CASH BOOK 2018'!$K:$K,'CASH BOOK 2018'!$B:$B,'CASHFLOW 2018'!G$1,'CASH BOOK 2018'!$D:$D,'CASHFLOW 2018'!$A15)</f>
        <v>0</v>
      </c>
      <c r="H15" s="71">
        <f>SUMIFS('CASH BOOK 2018'!$K:$K,'CASH BOOK 2018'!$B:$B,'CASHFLOW 2018'!H$1,'CASH BOOK 2018'!$D:$D,'CASHFLOW 2018'!$A15)</f>
        <v>0</v>
      </c>
      <c r="I15" s="71">
        <f>SUMIFS('CASH BOOK 2018'!$K:$K,'CASH BOOK 2018'!$B:$B,'CASHFLOW 2018'!I$1,'CASH BOOK 2018'!$D:$D,'CASHFLOW 2018'!$A15)</f>
        <v>0</v>
      </c>
      <c r="J15" s="71">
        <f>SUMIFS('CASH BOOK 2018'!$K:$K,'CASH BOOK 2018'!$B:$B,'CASHFLOW 2018'!J$1,'CASH BOOK 2018'!$D:$D,'CASHFLOW 2018'!$A15)</f>
        <v>0</v>
      </c>
      <c r="K15" s="71">
        <f>SUMIFS('CASH BOOK 2018'!$K:$K,'CASH BOOK 2018'!$B:$B,'CASHFLOW 2018'!K$1,'CASH BOOK 2018'!$D:$D,'CASHFLOW 2018'!$A15)</f>
        <v>0</v>
      </c>
      <c r="L15" s="71">
        <f>SUMIFS('CASH BOOK 2018'!$K:$K,'CASH BOOK 2018'!$B:$B,'CASHFLOW 2018'!L$1,'CASH BOOK 2018'!$D:$D,'CASHFLOW 2018'!$A15)</f>
        <v>0</v>
      </c>
      <c r="M15" s="71">
        <f>SUMIFS('CASH BOOK 2018'!$K:$K,'CASH BOOK 2018'!$B:$B,'CASHFLOW 2018'!M$1,'CASH BOOK 2018'!$D:$D,'CASHFLOW 2018'!$A15)</f>
        <v>0</v>
      </c>
      <c r="N15" s="71">
        <f>SUMIFS('CASH BOOK 2018'!$K:$K,'CASH BOOK 2018'!$B:$B,'CASHFLOW 2018'!N$1,'CASH BOOK 2018'!$D:$D,'CASHFLOW 2018'!$A15)</f>
        <v>0</v>
      </c>
      <c r="O15" s="71">
        <f>SUMIFS('CASH BOOK 2018'!$K:$K,'CASH BOOK 2018'!$B:$B,'CASHFLOW 2018'!O$1,'CASH BOOK 2018'!$D:$D,'CASHFLOW 2018'!$A15)</f>
        <v>0</v>
      </c>
      <c r="P15" s="69">
        <f t="shared" si="2"/>
        <v>0</v>
      </c>
      <c r="Q15" s="70">
        <v>0</v>
      </c>
    </row>
    <row r="16" spans="1:17" x14ac:dyDescent="0.35">
      <c r="A16" s="9" t="s">
        <v>77</v>
      </c>
      <c r="C16" s="68"/>
      <c r="D16" s="71">
        <f>SUMIFS('CASH BOOK 2018'!$K:$K,'CASH BOOK 2018'!$B:$B,'CASHFLOW 2018'!D$1,'CASH BOOK 2018'!$D:$D,'CASHFLOW 2018'!$A16)</f>
        <v>0</v>
      </c>
      <c r="E16" s="71">
        <f>SUMIFS('CASH BOOK 2018'!$K:$K,'CASH BOOK 2018'!$B:$B,'CASHFLOW 2018'!E$1,'CASH BOOK 2018'!$D:$D,'CASHFLOW 2018'!$A16)</f>
        <v>0</v>
      </c>
      <c r="F16" s="71">
        <f>SUMIFS('CASH BOOK 2018'!$K:$K,'CASH BOOK 2018'!$B:$B,'CASHFLOW 2018'!F$1,'CASH BOOK 2018'!$D:$D,'CASHFLOW 2018'!$A16)</f>
        <v>0</v>
      </c>
      <c r="G16" s="71">
        <f>SUMIFS('CASH BOOK 2018'!$K:$K,'CASH BOOK 2018'!$B:$B,'CASHFLOW 2018'!G$1,'CASH BOOK 2018'!$D:$D,'CASHFLOW 2018'!$A16)</f>
        <v>0</v>
      </c>
      <c r="H16" s="71">
        <f>SUMIFS('CASH BOOK 2018'!$K:$K,'CASH BOOK 2018'!$B:$B,'CASHFLOW 2018'!H$1,'CASH BOOK 2018'!$D:$D,'CASHFLOW 2018'!$A16)</f>
        <v>0</v>
      </c>
      <c r="I16" s="71">
        <f>SUMIFS('CASH BOOK 2018'!$K:$K,'CASH BOOK 2018'!$B:$B,'CASHFLOW 2018'!I$1,'CASH BOOK 2018'!$D:$D,'CASHFLOW 2018'!$A16)</f>
        <v>0</v>
      </c>
      <c r="J16" s="71">
        <f>SUMIFS('CASH BOOK 2018'!$K:$K,'CASH BOOK 2018'!$B:$B,'CASHFLOW 2018'!J$1,'CASH BOOK 2018'!$D:$D,'CASHFLOW 2018'!$A16)</f>
        <v>0</v>
      </c>
      <c r="K16" s="71">
        <f>SUMIFS('CASH BOOK 2018'!$K:$K,'CASH BOOK 2018'!$B:$B,'CASHFLOW 2018'!K$1,'CASH BOOK 2018'!$D:$D,'CASHFLOW 2018'!$A16)</f>
        <v>0</v>
      </c>
      <c r="L16" s="71">
        <f>SUMIFS('CASH BOOK 2018'!$K:$K,'CASH BOOK 2018'!$B:$B,'CASHFLOW 2018'!L$1,'CASH BOOK 2018'!$D:$D,'CASHFLOW 2018'!$A16)</f>
        <v>0</v>
      </c>
      <c r="M16" s="71">
        <f>SUMIFS('CASH BOOK 2018'!$K:$K,'CASH BOOK 2018'!$B:$B,'CASHFLOW 2018'!M$1,'CASH BOOK 2018'!$D:$D,'CASHFLOW 2018'!$A16)</f>
        <v>0</v>
      </c>
      <c r="N16" s="71">
        <f>SUMIFS('CASH BOOK 2018'!$K:$K,'CASH BOOK 2018'!$B:$B,'CASHFLOW 2018'!N$1,'CASH BOOK 2018'!$D:$D,'CASHFLOW 2018'!$A16)</f>
        <v>0</v>
      </c>
      <c r="O16" s="71">
        <f>SUMIFS('CASH BOOK 2018'!$K:$K,'CASH BOOK 2018'!$B:$B,'CASHFLOW 2018'!O$1,'CASH BOOK 2018'!$D:$D,'CASHFLOW 2018'!$A16)</f>
        <v>0</v>
      </c>
      <c r="P16" s="69">
        <f t="shared" si="2"/>
        <v>0</v>
      </c>
      <c r="Q16" s="70">
        <v>0</v>
      </c>
    </row>
    <row r="17" spans="1:17" x14ac:dyDescent="0.35">
      <c r="A17" s="9" t="s">
        <v>320</v>
      </c>
      <c r="C17" s="68"/>
      <c r="D17" s="71">
        <f>SUMIFS('CASH BOOK 2018'!$K:$K,'CASH BOOK 2018'!$B:$B,'CASHFLOW 2018'!D$1,'CASH BOOK 2018'!$D:$D,'CASHFLOW 2018'!$A17)</f>
        <v>0</v>
      </c>
      <c r="E17" s="71">
        <f>SUMIFS('CASH BOOK 2018'!$K:$K,'CASH BOOK 2018'!$B:$B,'CASHFLOW 2018'!E$1,'CASH BOOK 2018'!$D:$D,'CASHFLOW 2018'!$A17)</f>
        <v>0</v>
      </c>
      <c r="F17" s="71">
        <f>SUMIFS('CASH BOOK 2018'!$K:$K,'CASH BOOK 2018'!$B:$B,'CASHFLOW 2018'!F$1,'CASH BOOK 2018'!$D:$D,'CASHFLOW 2018'!$A17)</f>
        <v>0</v>
      </c>
      <c r="G17" s="71">
        <f>SUMIFS('CASH BOOK 2018'!$K:$K,'CASH BOOK 2018'!$B:$B,'CASHFLOW 2018'!G$1,'CASH BOOK 2018'!$D:$D,'CASHFLOW 2018'!$A17)</f>
        <v>0</v>
      </c>
      <c r="H17" s="71">
        <f>SUMIFS('CASH BOOK 2018'!$K:$K,'CASH BOOK 2018'!$B:$B,'CASHFLOW 2018'!H$1,'CASH BOOK 2018'!$D:$D,'CASHFLOW 2018'!$A17)</f>
        <v>0</v>
      </c>
      <c r="I17" s="71">
        <f>SUMIFS('CASH BOOK 2018'!$K:$K,'CASH BOOK 2018'!$B:$B,'CASHFLOW 2018'!I$1,'CASH BOOK 2018'!$D:$D,'CASHFLOW 2018'!$A17)</f>
        <v>0</v>
      </c>
      <c r="J17" s="71">
        <f>SUMIFS('CASH BOOK 2018'!$K:$K,'CASH BOOK 2018'!$B:$B,'CASHFLOW 2018'!J$1,'CASH BOOK 2018'!$D:$D,'CASHFLOW 2018'!$A17)</f>
        <v>0</v>
      </c>
      <c r="K17" s="71">
        <f>SUMIFS('CASH BOOK 2018'!$K:$K,'CASH BOOK 2018'!$B:$B,'CASHFLOW 2018'!K$1,'CASH BOOK 2018'!$D:$D,'CASHFLOW 2018'!$A17)</f>
        <v>0</v>
      </c>
      <c r="L17" s="71">
        <f>SUMIFS('CASH BOOK 2018'!$K:$K,'CASH BOOK 2018'!$B:$B,'CASHFLOW 2018'!L$1,'CASH BOOK 2018'!$D:$D,'CASHFLOW 2018'!$A17)</f>
        <v>0</v>
      </c>
      <c r="M17" s="71">
        <f>SUMIFS('CASH BOOK 2018'!$K:$K,'CASH BOOK 2018'!$B:$B,'CASHFLOW 2018'!M$1,'CASH BOOK 2018'!$D:$D,'CASHFLOW 2018'!$A17)</f>
        <v>0</v>
      </c>
      <c r="N17" s="71">
        <f>SUMIFS('CASH BOOK 2018'!$K:$K,'CASH BOOK 2018'!$B:$B,'CASHFLOW 2018'!N$1,'CASH BOOK 2018'!$D:$D,'CASHFLOW 2018'!$A17)</f>
        <v>0</v>
      </c>
      <c r="O17" s="71">
        <f>SUMIFS('CASH BOOK 2018'!$K:$K,'CASH BOOK 2018'!$B:$B,'CASHFLOW 2018'!O$1,'CASH BOOK 2018'!$D:$D,'CASHFLOW 2018'!$A17)</f>
        <v>0</v>
      </c>
      <c r="P17" s="69">
        <f t="shared" si="2"/>
        <v>0</v>
      </c>
      <c r="Q17" s="70"/>
    </row>
    <row r="18" spans="1:17" x14ac:dyDescent="0.35">
      <c r="A18" s="9" t="s">
        <v>8</v>
      </c>
      <c r="C18" s="68"/>
      <c r="D18" s="71">
        <f>SUMIFS('CASH BOOK 2018'!$K:$K,'CASH BOOK 2018'!$B:$B,'CASHFLOW 2018'!D$1,'CASH BOOK 2018'!$D:$D,'CASHFLOW 2018'!$A18)</f>
        <v>-756.66</v>
      </c>
      <c r="E18" s="71">
        <f>SUMIFS('CASH BOOK 2018'!$K:$K,'CASH BOOK 2018'!$B:$B,'CASHFLOW 2018'!E$1,'CASH BOOK 2018'!$D:$D,'CASHFLOW 2018'!$A18)</f>
        <v>0</v>
      </c>
      <c r="F18" s="71">
        <f>SUMIFS('CASH BOOK 2018'!$K:$K,'CASH BOOK 2018'!$B:$B,'CASHFLOW 2018'!F$1,'CASH BOOK 2018'!$D:$D,'CASHFLOW 2018'!$A18)</f>
        <v>0</v>
      </c>
      <c r="G18" s="71">
        <f>SUMIFS('CASH BOOK 2018'!$K:$K,'CASH BOOK 2018'!$B:$B,'CASHFLOW 2018'!G$1,'CASH BOOK 2018'!$D:$D,'CASHFLOW 2018'!$A18)</f>
        <v>-997.21</v>
      </c>
      <c r="H18" s="71">
        <f>SUMIFS('CASH BOOK 2018'!$K:$K,'CASH BOOK 2018'!$B:$B,'CASHFLOW 2018'!H$1,'CASH BOOK 2018'!$D:$D,'CASHFLOW 2018'!$A18)</f>
        <v>0</v>
      </c>
      <c r="I18" s="71">
        <f>SUMIFS('CASH BOOK 2018'!$K:$K,'CASH BOOK 2018'!$B:$B,'CASHFLOW 2018'!I$1,'CASH BOOK 2018'!$D:$D,'CASHFLOW 2018'!$A18)</f>
        <v>0</v>
      </c>
      <c r="J18" s="71">
        <f>SUMIFS('CASH BOOK 2018'!$K:$K,'CASH BOOK 2018'!$B:$B,'CASHFLOW 2018'!J$1,'CASH BOOK 2018'!$D:$D,'CASHFLOW 2018'!$A18)</f>
        <v>-444.37</v>
      </c>
      <c r="K18" s="71">
        <f>SUMIFS('CASH BOOK 2018'!$K:$K,'CASH BOOK 2018'!$B:$B,'CASHFLOW 2018'!K$1,'CASH BOOK 2018'!$D:$D,'CASHFLOW 2018'!$A18)</f>
        <v>0</v>
      </c>
      <c r="L18" s="71">
        <f>SUMIFS('CASH BOOK 2018'!$K:$K,'CASH BOOK 2018'!$B:$B,'CASHFLOW 2018'!L$1,'CASH BOOK 2018'!$D:$D,'CASHFLOW 2018'!$A18)</f>
        <v>0</v>
      </c>
      <c r="M18" s="71">
        <f>SUMIFS('CASH BOOK 2018'!$K:$K,'CASH BOOK 2018'!$B:$B,'CASHFLOW 2018'!M$1,'CASH BOOK 2018'!$D:$D,'CASHFLOW 2018'!$A18)</f>
        <v>-116.85</v>
      </c>
      <c r="N18" s="71">
        <f>SUMIFS('CASH BOOK 2018'!$K:$K,'CASH BOOK 2018'!$B:$B,'CASHFLOW 2018'!N$1,'CASH BOOK 2018'!$D:$D,'CASHFLOW 2018'!$A18)</f>
        <v>0</v>
      </c>
      <c r="O18" s="71">
        <f>SUMIFS('CASH BOOK 2018'!$K:$K,'CASH BOOK 2018'!$B:$B,'CASHFLOW 2018'!O$1,'CASH BOOK 2018'!$D:$D,'CASHFLOW 2018'!$A18)</f>
        <v>0</v>
      </c>
      <c r="P18" s="69">
        <f t="shared" si="2"/>
        <v>-2315.0899999999997</v>
      </c>
      <c r="Q18" s="70">
        <v>2500</v>
      </c>
    </row>
    <row r="19" spans="1:17" x14ac:dyDescent="0.35">
      <c r="A19" s="9" t="s">
        <v>9</v>
      </c>
      <c r="C19" s="68"/>
      <c r="D19" s="71">
        <f>SUMIFS('CASH BOOK 2018'!$K:$K,'CASH BOOK 2018'!$B:$B,'CASHFLOW 2018'!D$1,'CASH BOOK 2018'!$D:$D,'CASHFLOW 2018'!$A19)</f>
        <v>-129.66999999999999</v>
      </c>
      <c r="E19" s="71">
        <f>SUMIFS('CASH BOOK 2018'!$K:$K,'CASH BOOK 2018'!$B:$B,'CASHFLOW 2018'!E$1,'CASH BOOK 2018'!$D:$D,'CASHFLOW 2018'!$A19)</f>
        <v>-113.34</v>
      </c>
      <c r="F19" s="71">
        <f>SUMIFS('CASH BOOK 2018'!$K:$K,'CASH BOOK 2018'!$B:$B,'CASHFLOW 2018'!F$1,'CASH BOOK 2018'!$D:$D,'CASHFLOW 2018'!$A19)</f>
        <v>-122.25</v>
      </c>
      <c r="G19" s="71">
        <f>SUMIFS('CASH BOOK 2018'!$K:$K,'CASH BOOK 2018'!$B:$B,'CASHFLOW 2018'!G$1,'CASH BOOK 2018'!$D:$D,'CASHFLOW 2018'!$A19)</f>
        <v>-135.11000000000001</v>
      </c>
      <c r="H19" s="71">
        <f>SUMIFS('CASH BOOK 2018'!$K:$K,'CASH BOOK 2018'!$B:$B,'CASHFLOW 2018'!H$1,'CASH BOOK 2018'!$D:$D,'CASHFLOW 2018'!$A19)</f>
        <v>-90.99</v>
      </c>
      <c r="I19" s="71">
        <f>SUMIFS('CASH BOOK 2018'!$K:$K,'CASH BOOK 2018'!$B:$B,'CASHFLOW 2018'!I$1,'CASH BOOK 2018'!$D:$D,'CASHFLOW 2018'!$A19)</f>
        <v>-122.27</v>
      </c>
      <c r="J19" s="71">
        <f>SUMIFS('CASH BOOK 2018'!$K:$K,'CASH BOOK 2018'!$B:$B,'CASHFLOW 2018'!J$1,'CASH BOOK 2018'!$D:$D,'CASHFLOW 2018'!$A19)</f>
        <v>-90.91</v>
      </c>
      <c r="K19" s="71">
        <f>SUMIFS('CASH BOOK 2018'!$K:$K,'CASH BOOK 2018'!$B:$B,'CASHFLOW 2018'!K$1,'CASH BOOK 2018'!$D:$D,'CASHFLOW 2018'!$A19)</f>
        <v>7.0499999999999972</v>
      </c>
      <c r="L19" s="71">
        <f>SUMIFS('CASH BOOK 2018'!$K:$K,'CASH BOOK 2018'!$B:$B,'CASHFLOW 2018'!L$1,'CASH BOOK 2018'!$D:$D,'CASHFLOW 2018'!$A19)</f>
        <v>-86.59</v>
      </c>
      <c r="M19" s="71">
        <f>SUMIFS('CASH BOOK 2018'!$K:$K,'CASH BOOK 2018'!$B:$B,'CASHFLOW 2018'!M$1,'CASH BOOK 2018'!$D:$D,'CASHFLOW 2018'!$A19)</f>
        <v>-94.23</v>
      </c>
      <c r="N19" s="71">
        <f>SUMIFS('CASH BOOK 2018'!$K:$K,'CASH BOOK 2018'!$B:$B,'CASHFLOW 2018'!N$1,'CASH BOOK 2018'!$D:$D,'CASHFLOW 2018'!$A19)</f>
        <v>-100.64</v>
      </c>
      <c r="O19" s="71">
        <f>SUMIFS('CASH BOOK 2018'!$K:$K,'CASH BOOK 2018'!$B:$B,'CASHFLOW 2018'!O$1,'CASH BOOK 2018'!$D:$D,'CASHFLOW 2018'!$A19)</f>
        <v>-107.43</v>
      </c>
      <c r="P19" s="69">
        <f t="shared" si="2"/>
        <v>-1186.3800000000001</v>
      </c>
      <c r="Q19" s="70">
        <v>1750</v>
      </c>
    </row>
    <row r="20" spans="1:17" x14ac:dyDescent="0.35">
      <c r="A20" s="9" t="s">
        <v>301</v>
      </c>
      <c r="C20" s="68"/>
      <c r="D20" s="71">
        <f>SUMIFS('CASH BOOK 2018'!$K:$K,'CASH BOOK 2018'!$B:$B,'CASHFLOW 2018'!D$1,'CASH BOOK 2018'!$D:$D,'CASHFLOW 2018'!$A20)</f>
        <v>-34.68</v>
      </c>
      <c r="E20" s="71">
        <f>SUMIFS('CASH BOOK 2018'!$K:$K,'CASH BOOK 2018'!$B:$B,'CASHFLOW 2018'!E$1,'CASH BOOK 2018'!$D:$D,'CASHFLOW 2018'!$A20)</f>
        <v>-34.68</v>
      </c>
      <c r="F20" s="71">
        <f>SUMIFS('CASH BOOK 2018'!$K:$K,'CASH BOOK 2018'!$B:$B,'CASHFLOW 2018'!F$1,'CASH BOOK 2018'!$D:$D,'CASHFLOW 2018'!$A20)</f>
        <v>-34.68</v>
      </c>
      <c r="G20" s="71">
        <f>SUMIFS('CASH BOOK 2018'!$K:$K,'CASH BOOK 2018'!$B:$B,'CASHFLOW 2018'!G$1,'CASH BOOK 2018'!$D:$D,'CASHFLOW 2018'!$A20)</f>
        <v>-34.68</v>
      </c>
      <c r="H20" s="71">
        <f>SUMIFS('CASH BOOK 2018'!$K:$K,'CASH BOOK 2018'!$B:$B,'CASHFLOW 2018'!H$1,'CASH BOOK 2018'!$D:$D,'CASHFLOW 2018'!$A20)</f>
        <v>-34.68</v>
      </c>
      <c r="I20" s="71">
        <f>SUMIFS('CASH BOOK 2018'!$K:$K,'CASH BOOK 2018'!$B:$B,'CASHFLOW 2018'!I$1,'CASH BOOK 2018'!$D:$D,'CASHFLOW 2018'!$A20)</f>
        <v>-34.68</v>
      </c>
      <c r="J20" s="71">
        <f>SUMIFS('CASH BOOK 2018'!$K:$K,'CASH BOOK 2018'!$B:$B,'CASHFLOW 2018'!J$1,'CASH BOOK 2018'!$D:$D,'CASHFLOW 2018'!$A20)</f>
        <v>-34.68</v>
      </c>
      <c r="K20" s="71">
        <f>SUMIFS('CASH BOOK 2018'!$K:$K,'CASH BOOK 2018'!$B:$B,'CASHFLOW 2018'!K$1,'CASH BOOK 2018'!$D:$D,'CASHFLOW 2018'!$A20)</f>
        <v>-34.68</v>
      </c>
      <c r="L20" s="71">
        <f>SUMIFS('CASH BOOK 2018'!$K:$K,'CASH BOOK 2018'!$B:$B,'CASHFLOW 2018'!L$1,'CASH BOOK 2018'!$D:$D,'CASHFLOW 2018'!$A20)</f>
        <v>-34.68</v>
      </c>
      <c r="M20" s="71">
        <f>SUMIFS('CASH BOOK 2018'!$K:$K,'CASH BOOK 2018'!$B:$B,'CASHFLOW 2018'!M$1,'CASH BOOK 2018'!$D:$D,'CASHFLOW 2018'!$A20)</f>
        <v>-35.880000000000003</v>
      </c>
      <c r="N20" s="71">
        <f>SUMIFS('CASH BOOK 2018'!$K:$K,'CASH BOOK 2018'!$B:$B,'CASHFLOW 2018'!N$1,'CASH BOOK 2018'!$D:$D,'CASHFLOW 2018'!$A20)</f>
        <v>-35.880000000000003</v>
      </c>
      <c r="O20" s="71">
        <f>SUMIFS('CASH BOOK 2018'!$K:$K,'CASH BOOK 2018'!$B:$B,'CASHFLOW 2018'!O$1,'CASH BOOK 2018'!$D:$D,'CASHFLOW 2018'!$A20)</f>
        <v>-35.880000000000003</v>
      </c>
      <c r="P20" s="69">
        <f t="shared" si="2"/>
        <v>-419.76</v>
      </c>
      <c r="Q20" s="70">
        <v>450</v>
      </c>
    </row>
    <row r="21" spans="1:17" x14ac:dyDescent="0.35">
      <c r="A21" s="9" t="s">
        <v>10</v>
      </c>
      <c r="C21" s="68"/>
      <c r="D21" s="71">
        <f>SUMIFS('CASH BOOK 2018'!$K:$K,'CASH BOOK 2018'!$B:$B,'CASHFLOW 2018'!D$1,'CASH BOOK 2018'!$D:$D,'CASHFLOW 2018'!$A21)</f>
        <v>0</v>
      </c>
      <c r="E21" s="71">
        <f>SUMIFS('CASH BOOK 2018'!$K:$K,'CASH BOOK 2018'!$B:$B,'CASHFLOW 2018'!E$1,'CASH BOOK 2018'!$D:$D,'CASHFLOW 2018'!$A21)</f>
        <v>0</v>
      </c>
      <c r="F21" s="71">
        <f>SUMIFS('CASH BOOK 2018'!$K:$K,'CASH BOOK 2018'!$B:$B,'CASHFLOW 2018'!F$1,'CASH BOOK 2018'!$D:$D,'CASHFLOW 2018'!$A21)</f>
        <v>0</v>
      </c>
      <c r="G21" s="71">
        <f>SUMIFS('CASH BOOK 2018'!$K:$K,'CASH BOOK 2018'!$B:$B,'CASHFLOW 2018'!G$1,'CASH BOOK 2018'!$D:$D,'CASHFLOW 2018'!$A21)</f>
        <v>0</v>
      </c>
      <c r="H21" s="71">
        <f>SUMIFS('CASH BOOK 2018'!$K:$K,'CASH BOOK 2018'!$B:$B,'CASHFLOW 2018'!H$1,'CASH BOOK 2018'!$D:$D,'CASHFLOW 2018'!$A21)</f>
        <v>0</v>
      </c>
      <c r="I21" s="71">
        <f>SUMIFS('CASH BOOK 2018'!$K:$K,'CASH BOOK 2018'!$B:$B,'CASHFLOW 2018'!I$1,'CASH BOOK 2018'!$D:$D,'CASHFLOW 2018'!$A21)</f>
        <v>0</v>
      </c>
      <c r="J21" s="71">
        <f>SUMIFS('CASH BOOK 2018'!$K:$K,'CASH BOOK 2018'!$B:$B,'CASHFLOW 2018'!J$1,'CASH BOOK 2018'!$D:$D,'CASHFLOW 2018'!$A21)</f>
        <v>0</v>
      </c>
      <c r="K21" s="71">
        <f>SUMIFS('CASH BOOK 2018'!$K:$K,'CASH BOOK 2018'!$B:$B,'CASHFLOW 2018'!K$1,'CASH BOOK 2018'!$D:$D,'CASHFLOW 2018'!$A21)</f>
        <v>0</v>
      </c>
      <c r="L21" s="71">
        <f>SUMIFS('CASH BOOK 2018'!$K:$K,'CASH BOOK 2018'!$B:$B,'CASHFLOW 2018'!L$1,'CASH BOOK 2018'!$D:$D,'CASHFLOW 2018'!$A21)</f>
        <v>0</v>
      </c>
      <c r="M21" s="71">
        <f>SUMIFS('CASH BOOK 2018'!$K:$K,'CASH BOOK 2018'!$B:$B,'CASHFLOW 2018'!M$1,'CASH BOOK 2018'!$D:$D,'CASHFLOW 2018'!$A21)</f>
        <v>0</v>
      </c>
      <c r="N21" s="71">
        <f>SUMIFS('CASH BOOK 2018'!$K:$K,'CASH BOOK 2018'!$B:$B,'CASHFLOW 2018'!N$1,'CASH BOOK 2018'!$D:$D,'CASHFLOW 2018'!$A21)</f>
        <v>0</v>
      </c>
      <c r="O21" s="71">
        <f>SUMIFS('CASH BOOK 2018'!$K:$K,'CASH BOOK 2018'!$B:$B,'CASHFLOW 2018'!O$1,'CASH BOOK 2018'!$D:$D,'CASHFLOW 2018'!$A21)</f>
        <v>-1409.42</v>
      </c>
      <c r="P21" s="69">
        <f t="shared" si="2"/>
        <v>-1409.42</v>
      </c>
      <c r="Q21" s="70">
        <v>1500</v>
      </c>
    </row>
    <row r="22" spans="1:17" x14ac:dyDescent="0.35">
      <c r="A22" s="9" t="s">
        <v>11</v>
      </c>
      <c r="C22" s="68"/>
      <c r="D22" s="71">
        <f>SUMIFS('CASH BOOK 2018'!$K:$K,'CASH BOOK 2018'!$B:$B,'CASHFLOW 2018'!D$1,'CASH BOOK 2018'!$D:$D,'CASHFLOW 2018'!$A22)</f>
        <v>-82.88</v>
      </c>
      <c r="E22" s="71">
        <f>SUMIFS('CASH BOOK 2018'!$K:$K,'CASH BOOK 2018'!$B:$B,'CASHFLOW 2018'!E$1,'CASH BOOK 2018'!$D:$D,'CASHFLOW 2018'!$A22)</f>
        <v>-112.48</v>
      </c>
      <c r="F22" s="71">
        <f>SUMIFS('CASH BOOK 2018'!$K:$K,'CASH BOOK 2018'!$B:$B,'CASHFLOW 2018'!F$1,'CASH BOOK 2018'!$D:$D,'CASHFLOW 2018'!$A22)</f>
        <v>-112.48</v>
      </c>
      <c r="G22" s="71">
        <f>SUMIFS('CASH BOOK 2018'!$K:$K,'CASH BOOK 2018'!$B:$B,'CASHFLOW 2018'!G$1,'CASH BOOK 2018'!$D:$D,'CASHFLOW 2018'!$A22)</f>
        <v>-112.48</v>
      </c>
      <c r="H22" s="71">
        <f>SUMIFS('CASH BOOK 2018'!$K:$K,'CASH BOOK 2018'!$B:$B,'CASHFLOW 2018'!H$1,'CASH BOOK 2018'!$D:$D,'CASHFLOW 2018'!$A22)</f>
        <v>-110.2</v>
      </c>
      <c r="I22" s="71">
        <f>SUMIFS('CASH BOOK 2018'!$K:$K,'CASH BOOK 2018'!$B:$B,'CASHFLOW 2018'!I$1,'CASH BOOK 2018'!$D:$D,'CASHFLOW 2018'!$A22)</f>
        <v>-110.2</v>
      </c>
      <c r="J22" s="71">
        <f>SUMIFS('CASH BOOK 2018'!$K:$K,'CASH BOOK 2018'!$B:$B,'CASHFLOW 2018'!J$1,'CASH BOOK 2018'!$D:$D,'CASHFLOW 2018'!$A22)</f>
        <v>-110.2</v>
      </c>
      <c r="K22" s="71">
        <f>SUMIFS('CASH BOOK 2018'!$K:$K,'CASH BOOK 2018'!$B:$B,'CASHFLOW 2018'!K$1,'CASH BOOK 2018'!$D:$D,'CASHFLOW 2018'!$A22)</f>
        <v>-110.2</v>
      </c>
      <c r="L22" s="71">
        <f>SUMIFS('CASH BOOK 2018'!$K:$K,'CASH BOOK 2018'!$B:$B,'CASHFLOW 2018'!L$1,'CASH BOOK 2018'!$D:$D,'CASHFLOW 2018'!$A22)</f>
        <v>-110.2</v>
      </c>
      <c r="M22" s="71">
        <f>SUMIFS('CASH BOOK 2018'!$K:$K,'CASH BOOK 2018'!$B:$B,'CASHFLOW 2018'!M$1,'CASH BOOK 2018'!$D:$D,'CASHFLOW 2018'!$A22)</f>
        <v>-110.2</v>
      </c>
      <c r="N22" s="71">
        <f>SUMIFS('CASH BOOK 2018'!$K:$K,'CASH BOOK 2018'!$B:$B,'CASHFLOW 2018'!N$1,'CASH BOOK 2018'!$D:$D,'CASHFLOW 2018'!$A22)</f>
        <v>-110.2</v>
      </c>
      <c r="O22" s="71">
        <f>SUMIFS('CASH BOOK 2018'!$K:$K,'CASH BOOK 2018'!$B:$B,'CASHFLOW 2018'!O$1,'CASH BOOK 2018'!$D:$D,'CASHFLOW 2018'!$A22)</f>
        <v>-110.2</v>
      </c>
      <c r="P22" s="69">
        <f t="shared" si="2"/>
        <v>-1301.9200000000003</v>
      </c>
      <c r="Q22" s="70">
        <v>1000</v>
      </c>
    </row>
    <row r="23" spans="1:17" x14ac:dyDescent="0.35">
      <c r="A23" s="9" t="s">
        <v>12</v>
      </c>
      <c r="C23" s="68"/>
      <c r="D23" s="71">
        <f>SUMIFS('CASH BOOK 2018'!$K:$K,'CASH BOOK 2018'!$B:$B,'CASHFLOW 2018'!D$1,'CASH BOOK 2018'!$D:$D,'CASHFLOW 2018'!$A23)</f>
        <v>-425.02</v>
      </c>
      <c r="E23" s="71">
        <f>SUMIFS('CASH BOOK 2018'!$K:$K,'CASH BOOK 2018'!$B:$B,'CASHFLOW 2018'!E$1,'CASH BOOK 2018'!$D:$D,'CASHFLOW 2018'!$A23)</f>
        <v>-378.21999999999997</v>
      </c>
      <c r="F23" s="71">
        <f>SUMIFS('CASH BOOK 2018'!$K:$K,'CASH BOOK 2018'!$B:$B,'CASHFLOW 2018'!F$1,'CASH BOOK 2018'!$D:$D,'CASHFLOW 2018'!$A23)</f>
        <v>-402.5</v>
      </c>
      <c r="G23" s="71">
        <f>SUMIFS('CASH BOOK 2018'!$K:$K,'CASH BOOK 2018'!$B:$B,'CASHFLOW 2018'!G$1,'CASH BOOK 2018'!$D:$D,'CASHFLOW 2018'!$A23)</f>
        <v>-327.82</v>
      </c>
      <c r="H23" s="71">
        <f>SUMIFS('CASH BOOK 2018'!$K:$K,'CASH BOOK 2018'!$B:$B,'CASHFLOW 2018'!H$1,'CASH BOOK 2018'!$D:$D,'CASHFLOW 2018'!$A23)</f>
        <v>-385.42999999999995</v>
      </c>
      <c r="I23" s="71">
        <f>SUMIFS('CASH BOOK 2018'!$K:$K,'CASH BOOK 2018'!$B:$B,'CASHFLOW 2018'!I$1,'CASH BOOK 2018'!$D:$D,'CASHFLOW 2018'!$A23)</f>
        <v>-385.43</v>
      </c>
      <c r="J23" s="71">
        <f>SUMIFS('CASH BOOK 2018'!$K:$K,'CASH BOOK 2018'!$B:$B,'CASHFLOW 2018'!J$1,'CASH BOOK 2018'!$D:$D,'CASHFLOW 2018'!$A23)</f>
        <v>-385.43</v>
      </c>
      <c r="K23" s="71">
        <f>SUMIFS('CASH BOOK 2018'!$K:$K,'CASH BOOK 2018'!$B:$B,'CASHFLOW 2018'!K$1,'CASH BOOK 2018'!$D:$D,'CASHFLOW 2018'!$A23)</f>
        <v>-469.58000000000004</v>
      </c>
      <c r="L23" s="71">
        <f>SUMIFS('CASH BOOK 2018'!$K:$K,'CASH BOOK 2018'!$B:$B,'CASHFLOW 2018'!L$1,'CASH BOOK 2018'!$D:$D,'CASHFLOW 2018'!$A23)</f>
        <v>-385.43</v>
      </c>
      <c r="M23" s="71">
        <f>SUMIFS('CASH BOOK 2018'!$K:$K,'CASH BOOK 2018'!$B:$B,'CASHFLOW 2018'!M$1,'CASH BOOK 2018'!$D:$D,'CASHFLOW 2018'!$A23)</f>
        <v>-385.43</v>
      </c>
      <c r="N23" s="71">
        <f>SUMIFS('CASH BOOK 2018'!$K:$K,'CASH BOOK 2018'!$B:$B,'CASHFLOW 2018'!N$1,'CASH BOOK 2018'!$D:$D,'CASHFLOW 2018'!$A23)</f>
        <v>-630.92000000000007</v>
      </c>
      <c r="O23" s="71">
        <f>SUMIFS('CASH BOOK 2018'!$K:$K,'CASH BOOK 2018'!$B:$B,'CASHFLOW 2018'!O$1,'CASH BOOK 2018'!$D:$D,'CASHFLOW 2018'!$A23)</f>
        <v>-385.43</v>
      </c>
      <c r="P23" s="69">
        <f t="shared" si="2"/>
        <v>-4946.6399999999994</v>
      </c>
      <c r="Q23" s="70">
        <v>4500</v>
      </c>
    </row>
    <row r="24" spans="1:17" x14ac:dyDescent="0.35">
      <c r="A24" s="9" t="s">
        <v>13</v>
      </c>
      <c r="C24" s="68"/>
      <c r="D24" s="71">
        <f>SUMIFS('CASH BOOK 2018'!$K:$K,'CASH BOOK 2018'!$B:$B,'CASHFLOW 2018'!D$1,'CASH BOOK 2018'!$D:$D,'CASHFLOW 2018'!$A24)</f>
        <v>0</v>
      </c>
      <c r="E24" s="71">
        <f>SUMIFS('CASH BOOK 2018'!$K:$K,'CASH BOOK 2018'!$B:$B,'CASHFLOW 2018'!E$1,'CASH BOOK 2018'!$D:$D,'CASHFLOW 2018'!$A24)</f>
        <v>-567</v>
      </c>
      <c r="F24" s="71">
        <f>SUMIFS('CASH BOOK 2018'!$K:$K,'CASH BOOK 2018'!$B:$B,'CASHFLOW 2018'!F$1,'CASH BOOK 2018'!$D:$D,'CASHFLOW 2018'!$A24)</f>
        <v>0</v>
      </c>
      <c r="G24" s="71">
        <f>SUMIFS('CASH BOOK 2018'!$K:$K,'CASH BOOK 2018'!$B:$B,'CASHFLOW 2018'!G$1,'CASH BOOK 2018'!$D:$D,'CASHFLOW 2018'!$A24)</f>
        <v>0</v>
      </c>
      <c r="H24" s="71">
        <f>SUMIFS('CASH BOOK 2018'!$K:$K,'CASH BOOK 2018'!$B:$B,'CASHFLOW 2018'!H$1,'CASH BOOK 2018'!$D:$D,'CASHFLOW 2018'!$A24)</f>
        <v>-35</v>
      </c>
      <c r="I24" s="71">
        <f>SUMIFS('CASH BOOK 2018'!$K:$K,'CASH BOOK 2018'!$B:$B,'CASHFLOW 2018'!I$1,'CASH BOOK 2018'!$D:$D,'CASHFLOW 2018'!$A24)</f>
        <v>-562.29999999999995</v>
      </c>
      <c r="J24" s="71">
        <f>SUMIFS('CASH BOOK 2018'!$K:$K,'CASH BOOK 2018'!$B:$B,'CASHFLOW 2018'!J$1,'CASH BOOK 2018'!$D:$D,'CASHFLOW 2018'!$A24)</f>
        <v>0</v>
      </c>
      <c r="K24" s="71">
        <f>SUMIFS('CASH BOOK 2018'!$K:$K,'CASH BOOK 2018'!$B:$B,'CASHFLOW 2018'!K$1,'CASH BOOK 2018'!$D:$D,'CASHFLOW 2018'!$A24)</f>
        <v>0</v>
      </c>
      <c r="L24" s="71">
        <f>SUMIFS('CASH BOOK 2018'!$K:$K,'CASH BOOK 2018'!$B:$B,'CASHFLOW 2018'!L$1,'CASH BOOK 2018'!$D:$D,'CASHFLOW 2018'!$A24)</f>
        <v>0</v>
      </c>
      <c r="M24" s="71">
        <f>SUMIFS('CASH BOOK 2018'!$K:$K,'CASH BOOK 2018'!$B:$B,'CASHFLOW 2018'!M$1,'CASH BOOK 2018'!$D:$D,'CASHFLOW 2018'!$A24)</f>
        <v>0</v>
      </c>
      <c r="N24" s="71">
        <f>SUMIFS('CASH BOOK 2018'!$K:$K,'CASH BOOK 2018'!$B:$B,'CASHFLOW 2018'!N$1,'CASH BOOK 2018'!$D:$D,'CASHFLOW 2018'!$A24)</f>
        <v>0</v>
      </c>
      <c r="O24" s="71">
        <f>SUMIFS('CASH BOOK 2018'!$K:$K,'CASH BOOK 2018'!$B:$B,'CASHFLOW 2018'!O$1,'CASH BOOK 2018'!$D:$D,'CASHFLOW 2018'!$A24)</f>
        <v>0</v>
      </c>
      <c r="P24" s="69">
        <f t="shared" si="2"/>
        <v>-1164.3</v>
      </c>
      <c r="Q24" s="70">
        <v>1500</v>
      </c>
    </row>
    <row r="25" spans="1:17" x14ac:dyDescent="0.35">
      <c r="A25" s="9" t="s">
        <v>468</v>
      </c>
      <c r="C25" s="68"/>
      <c r="D25" s="71">
        <f>SUMIFS('CASH BOOK 2018'!$K:$K,'CASH BOOK 2018'!$B:$B,'CASHFLOW 2018'!D$1,'CASH BOOK 2018'!$D:$D,'CASHFLOW 2018'!$A25)</f>
        <v>0</v>
      </c>
      <c r="E25" s="71">
        <f>SUMIFS('CASH BOOK 2018'!$K:$K,'CASH BOOK 2018'!$B:$B,'CASHFLOW 2018'!E$1,'CASH BOOK 2018'!$D:$D,'CASHFLOW 2018'!$A25)</f>
        <v>0</v>
      </c>
      <c r="F25" s="71">
        <f>SUMIFS('CASH BOOK 2018'!$K:$K,'CASH BOOK 2018'!$B:$B,'CASHFLOW 2018'!F$1,'CASH BOOK 2018'!$D:$D,'CASHFLOW 2018'!$A25)</f>
        <v>0</v>
      </c>
      <c r="G25" s="71">
        <f>SUMIFS('CASH BOOK 2018'!$K:$K,'CASH BOOK 2018'!$B:$B,'CASHFLOW 2018'!G$1,'CASH BOOK 2018'!$D:$D,'CASHFLOW 2018'!$A25)</f>
        <v>0</v>
      </c>
      <c r="H25" s="71">
        <f>SUMIFS('CASH BOOK 2018'!$K:$K,'CASH BOOK 2018'!$B:$B,'CASHFLOW 2018'!H$1,'CASH BOOK 2018'!$D:$D,'CASHFLOW 2018'!$A25)</f>
        <v>0</v>
      </c>
      <c r="I25" s="71">
        <f>SUMIFS('CASH BOOK 2018'!$K:$K,'CASH BOOK 2018'!$B:$B,'CASHFLOW 2018'!I$1,'CASH BOOK 2018'!$D:$D,'CASHFLOW 2018'!$A25)</f>
        <v>0</v>
      </c>
      <c r="J25" s="71">
        <f>SUMIFS('CASH BOOK 2018'!$K:$K,'CASH BOOK 2018'!$B:$B,'CASHFLOW 2018'!J$1,'CASH BOOK 2018'!$D:$D,'CASHFLOW 2018'!$A25)</f>
        <v>0</v>
      </c>
      <c r="K25" s="71">
        <f>SUMIFS('CASH BOOK 2018'!$K:$K,'CASH BOOK 2018'!$B:$B,'CASHFLOW 2018'!K$1,'CASH BOOK 2018'!$D:$D,'CASHFLOW 2018'!$A25)</f>
        <v>-49.81</v>
      </c>
      <c r="L25" s="71">
        <f>SUMIFS('CASH BOOK 2018'!$K:$K,'CASH BOOK 2018'!$B:$B,'CASHFLOW 2018'!L$1,'CASH BOOK 2018'!$D:$D,'CASHFLOW 2018'!$A25)</f>
        <v>-5</v>
      </c>
      <c r="M25" s="71">
        <f>SUMIFS('CASH BOOK 2018'!$K:$K,'CASH BOOK 2018'!$B:$B,'CASHFLOW 2018'!M$1,'CASH BOOK 2018'!$D:$D,'CASHFLOW 2018'!$A25)</f>
        <v>-350</v>
      </c>
      <c r="N25" s="71">
        <f>SUMIFS('CASH BOOK 2018'!$K:$K,'CASH BOOK 2018'!$B:$B,'CASHFLOW 2018'!N$1,'CASH BOOK 2018'!$D:$D,'CASHFLOW 2018'!$A25)</f>
        <v>0</v>
      </c>
      <c r="O25" s="71">
        <f>SUMIFS('CASH BOOK 2018'!$K:$K,'CASH BOOK 2018'!$B:$B,'CASHFLOW 2018'!O$1,'CASH BOOK 2018'!$D:$D,'CASHFLOW 2018'!$A25)</f>
        <v>0</v>
      </c>
      <c r="P25" s="69">
        <f t="shared" si="2"/>
        <v>-404.81</v>
      </c>
      <c r="Q25" s="70">
        <v>500</v>
      </c>
    </row>
    <row r="26" spans="1:17" x14ac:dyDescent="0.35">
      <c r="A26" s="9" t="s">
        <v>621</v>
      </c>
      <c r="C26" s="68"/>
      <c r="D26" s="71">
        <f>SUMIFS('CASH BOOK 2018'!$K:$K,'CASH BOOK 2018'!$B:$B,'CASHFLOW 2018'!D$1,'CASH BOOK 2018'!$D:$D,'CASHFLOW 2018'!$A26)</f>
        <v>0</v>
      </c>
      <c r="E26" s="71">
        <f>SUMIFS('CASH BOOK 2018'!$K:$K,'CASH BOOK 2018'!$B:$B,'CASHFLOW 2018'!E$1,'CASH BOOK 2018'!$D:$D,'CASHFLOW 2018'!$A26)</f>
        <v>0</v>
      </c>
      <c r="F26" s="71">
        <f>SUMIFS('CASH BOOK 2018'!$K:$K,'CASH BOOK 2018'!$B:$B,'CASHFLOW 2018'!F$1,'CASH BOOK 2018'!$D:$D,'CASHFLOW 2018'!$A26)</f>
        <v>-96.8</v>
      </c>
      <c r="G26" s="71">
        <f>SUMIFS('CASH BOOK 2018'!$K:$K,'CASH BOOK 2018'!$B:$B,'CASHFLOW 2018'!G$1,'CASH BOOK 2018'!$D:$D,'CASHFLOW 2018'!$A26)</f>
        <v>0</v>
      </c>
      <c r="H26" s="71">
        <f>SUMIFS('CASH BOOK 2018'!$K:$K,'CASH BOOK 2018'!$B:$B,'CASHFLOW 2018'!H$1,'CASH BOOK 2018'!$D:$D,'CASHFLOW 2018'!$A26)</f>
        <v>0</v>
      </c>
      <c r="I26" s="71">
        <f>SUMIFS('CASH BOOK 2018'!$K:$K,'CASH BOOK 2018'!$B:$B,'CASHFLOW 2018'!I$1,'CASH BOOK 2018'!$D:$D,'CASHFLOW 2018'!$A26)</f>
        <v>0</v>
      </c>
      <c r="J26" s="71">
        <f>SUMIFS('CASH BOOK 2018'!$K:$K,'CASH BOOK 2018'!$B:$B,'CASHFLOW 2018'!J$1,'CASH BOOK 2018'!$D:$D,'CASHFLOW 2018'!$A26)</f>
        <v>20</v>
      </c>
      <c r="K26" s="71">
        <f>SUMIFS('CASH BOOK 2018'!$K:$K,'CASH BOOK 2018'!$B:$B,'CASHFLOW 2018'!K$1,'CASH BOOK 2018'!$D:$D,'CASHFLOW 2018'!$A26)</f>
        <v>-57.85</v>
      </c>
      <c r="L26" s="71">
        <f>SUMIFS('CASH BOOK 2018'!$K:$K,'CASH BOOK 2018'!$B:$B,'CASHFLOW 2018'!L$1,'CASH BOOK 2018'!$D:$D,'CASHFLOW 2018'!$A26)</f>
        <v>-189.35</v>
      </c>
      <c r="M26" s="71">
        <f>SUMIFS('CASH BOOK 2018'!$K:$K,'CASH BOOK 2018'!$B:$B,'CASHFLOW 2018'!M$1,'CASH BOOK 2018'!$D:$D,'CASHFLOW 2018'!$A26)</f>
        <v>0</v>
      </c>
      <c r="N26" s="71">
        <f>SUMIFS('CASH BOOK 2018'!$K:$K,'CASH BOOK 2018'!$B:$B,'CASHFLOW 2018'!N$1,'CASH BOOK 2018'!$D:$D,'CASHFLOW 2018'!$A26)</f>
        <v>25</v>
      </c>
      <c r="O26" s="71">
        <f>SUMIFS('CASH BOOK 2018'!$K:$K,'CASH BOOK 2018'!$B:$B,'CASHFLOW 2018'!O$1,'CASH BOOK 2018'!$D:$D,'CASHFLOW 2018'!$A26)</f>
        <v>-15.51</v>
      </c>
      <c r="P26" s="69">
        <f t="shared" si="2"/>
        <v>-314.51</v>
      </c>
      <c r="Q26" s="70">
        <v>1000</v>
      </c>
    </row>
    <row r="27" spans="1:17" x14ac:dyDescent="0.35">
      <c r="C27" s="68"/>
      <c r="D27" s="71">
        <f>SUMIFS('CASH BOOK 2018'!$K:$K,'CASH BOOK 2018'!$B:$B,'CASHFLOW 2018'!D$1,'CASH BOOK 2018'!$D:$D,'CASHFLOW 2018'!$A27)</f>
        <v>0</v>
      </c>
      <c r="E27" s="71">
        <f>SUMIFS('CASH BOOK 2018'!$K:$K,'CASH BOOK 2018'!$B:$B,'CASHFLOW 2018'!E$1,'CASH BOOK 2018'!$D:$D,'CASHFLOW 2018'!$A27)</f>
        <v>0</v>
      </c>
      <c r="F27" s="71">
        <f>SUMIFS('CASH BOOK 2018'!$K:$K,'CASH BOOK 2018'!$B:$B,'CASHFLOW 2018'!F$1,'CASH BOOK 2018'!$D:$D,'CASHFLOW 2018'!$A27)</f>
        <v>0</v>
      </c>
      <c r="G27" s="71">
        <f>SUMIFS('CASH BOOK 2018'!$K:$K,'CASH BOOK 2018'!$B:$B,'CASHFLOW 2018'!G$1,'CASH BOOK 2018'!$D:$D,'CASHFLOW 2018'!$A27)</f>
        <v>0</v>
      </c>
      <c r="H27" s="71">
        <f>SUMIFS('CASH BOOK 2018'!$K:$K,'CASH BOOK 2018'!$B:$B,'CASHFLOW 2018'!H$1,'CASH BOOK 2018'!$D:$D,'CASHFLOW 2018'!$A27)</f>
        <v>0</v>
      </c>
      <c r="I27" s="71">
        <f>SUMIFS('CASH BOOK 2018'!$K:$K,'CASH BOOK 2018'!$B:$B,'CASHFLOW 2018'!I$1,'CASH BOOK 2018'!$D:$D,'CASHFLOW 2018'!$A27)</f>
        <v>0</v>
      </c>
      <c r="J27" s="71">
        <f>SUMIFS('CASH BOOK 2018'!$K:$K,'CASH BOOK 2018'!$B:$B,'CASHFLOW 2018'!J$1,'CASH BOOK 2018'!$D:$D,'CASHFLOW 2018'!$A27)</f>
        <v>0</v>
      </c>
      <c r="K27" s="71">
        <f>SUMIFS('CASH BOOK 2018'!$K:$K,'CASH BOOK 2018'!$B:$B,'CASHFLOW 2018'!K$1,'CASH BOOK 2018'!$D:$D,'CASHFLOW 2018'!$A27)</f>
        <v>0</v>
      </c>
      <c r="L27" s="71">
        <f>SUMIFS('CASH BOOK 2018'!$K:$K,'CASH BOOK 2018'!$B:$B,'CASHFLOW 2018'!L$1,'CASH BOOK 2018'!$D:$D,'CASHFLOW 2018'!$A27)</f>
        <v>0</v>
      </c>
      <c r="M27" s="71">
        <f>SUMIFS('CASH BOOK 2018'!$K:$K,'CASH BOOK 2018'!$B:$B,'CASHFLOW 2018'!M$1,'CASH BOOK 2018'!$D:$D,'CASHFLOW 2018'!$A27)</f>
        <v>0</v>
      </c>
      <c r="N27" s="71">
        <f>SUMIFS('CASH BOOK 2018'!$K:$K,'CASH BOOK 2018'!$B:$B,'CASHFLOW 2018'!N$1,'CASH BOOK 2018'!$D:$D,'CASHFLOW 2018'!$A27)</f>
        <v>0</v>
      </c>
      <c r="O27" s="71">
        <f>SUMIFS('CASH BOOK 2018'!$K:$K,'CASH BOOK 2018'!$B:$B,'CASHFLOW 2018'!O$1,'CASH BOOK 2018'!$D:$D,'CASHFLOW 2018'!$A27)</f>
        <v>0</v>
      </c>
      <c r="P27" s="69">
        <f>SUM(D27:O27)</f>
        <v>0</v>
      </c>
      <c r="Q27" s="70">
        <v>100</v>
      </c>
    </row>
    <row r="28" spans="1:17" x14ac:dyDescent="0.35">
      <c r="C28" s="68"/>
      <c r="D28" s="71">
        <f>SUMIFS('CASH BOOK 2018'!$K:$K,'CASH BOOK 2018'!$B:$B,'CASHFLOW 2018'!D$1,'CASH BOOK 2018'!$D:$D,'CASHFLOW 2018'!$A28)</f>
        <v>0</v>
      </c>
      <c r="E28" s="71">
        <f>SUMIFS('CASH BOOK 2018'!$K:$K,'CASH BOOK 2018'!$B:$B,'CASHFLOW 2018'!E$1,'CASH BOOK 2018'!$D:$D,'CASHFLOW 2018'!$A28)</f>
        <v>0</v>
      </c>
      <c r="F28" s="71">
        <f>SUMIFS('CASH BOOK 2018'!$K:$K,'CASH BOOK 2018'!$B:$B,'CASHFLOW 2018'!F$1,'CASH BOOK 2018'!$D:$D,'CASHFLOW 2018'!$A28)</f>
        <v>0</v>
      </c>
      <c r="G28" s="71">
        <f>SUMIFS('CASH BOOK 2018'!$K:$K,'CASH BOOK 2018'!$B:$B,'CASHFLOW 2018'!G$1,'CASH BOOK 2018'!$D:$D,'CASHFLOW 2018'!$A28)</f>
        <v>0</v>
      </c>
      <c r="H28" s="71">
        <f>SUMIFS('CASH BOOK 2018'!$K:$K,'CASH BOOK 2018'!$B:$B,'CASHFLOW 2018'!H$1,'CASH BOOK 2018'!$D:$D,'CASHFLOW 2018'!$A28)</f>
        <v>0</v>
      </c>
      <c r="I28" s="71">
        <f>SUMIFS('CASH BOOK 2018'!$K:$K,'CASH BOOK 2018'!$B:$B,'CASHFLOW 2018'!I$1,'CASH BOOK 2018'!$D:$D,'CASHFLOW 2018'!$A28)</f>
        <v>0</v>
      </c>
      <c r="J28" s="71">
        <f>SUMIFS('CASH BOOK 2018'!$K:$K,'CASH BOOK 2018'!$B:$B,'CASHFLOW 2018'!J$1,'CASH BOOK 2018'!$D:$D,'CASHFLOW 2018'!$A28)</f>
        <v>0</v>
      </c>
      <c r="K28" s="71">
        <f>SUMIFS('CASH BOOK 2018'!$K:$K,'CASH BOOK 2018'!$B:$B,'CASHFLOW 2018'!K$1,'CASH BOOK 2018'!$D:$D,'CASHFLOW 2018'!$A28)</f>
        <v>0</v>
      </c>
      <c r="L28" s="71">
        <f>SUMIFS('CASH BOOK 2018'!$K:$K,'CASH BOOK 2018'!$B:$B,'CASHFLOW 2018'!L$1,'CASH BOOK 2018'!$D:$D,'CASHFLOW 2018'!$A28)</f>
        <v>0</v>
      </c>
      <c r="M28" s="71">
        <f>SUMIFS('CASH BOOK 2018'!$K:$K,'CASH BOOK 2018'!$B:$B,'CASHFLOW 2018'!M$1,'CASH BOOK 2018'!$D:$D,'CASHFLOW 2018'!$A28)</f>
        <v>0</v>
      </c>
      <c r="N28" s="71">
        <f>SUMIFS('CASH BOOK 2018'!$K:$K,'CASH BOOK 2018'!$B:$B,'CASHFLOW 2018'!N$1,'CASH BOOK 2018'!$D:$D,'CASHFLOW 2018'!$A28)</f>
        <v>0</v>
      </c>
      <c r="O28" s="71">
        <f>SUMIFS('CASH BOOK 2018'!$K:$K,'CASH BOOK 2018'!$B:$B,'CASHFLOW 2018'!O$1,'CASH BOOK 2018'!$D:$D,'CASHFLOW 2018'!$A28)</f>
        <v>0</v>
      </c>
      <c r="P28" s="69">
        <f t="shared" si="2"/>
        <v>0</v>
      </c>
      <c r="Q28" s="70">
        <v>0</v>
      </c>
    </row>
    <row r="29" spans="1:17" x14ac:dyDescent="0.35">
      <c r="C29" s="68"/>
      <c r="D29" s="72">
        <f>SUM(D14:D28)</f>
        <v>-1428.9099999999999</v>
      </c>
      <c r="E29" s="72">
        <f>SUM(E14:E28)</f>
        <v>-2081.0100000000002</v>
      </c>
      <c r="F29" s="72">
        <f>SUM(F14:F28)</f>
        <v>-768.71</v>
      </c>
      <c r="G29" s="72">
        <f>SUM(G14:G28)</f>
        <v>-1607.3000000000002</v>
      </c>
      <c r="H29" s="72">
        <f>SUM(H14:H28)</f>
        <v>-3296.2999999999993</v>
      </c>
      <c r="I29" s="72">
        <f t="shared" ref="I29:P29" si="3">SUM(I14:I28)</f>
        <v>-2494.0500000000002</v>
      </c>
      <c r="J29" s="72">
        <f t="shared" si="3"/>
        <v>-1045.5899999999999</v>
      </c>
      <c r="K29" s="72">
        <f t="shared" si="3"/>
        <v>-1000.1899999999999</v>
      </c>
      <c r="L29" s="72">
        <f t="shared" si="3"/>
        <v>-901.25000000000011</v>
      </c>
      <c r="M29" s="72">
        <f t="shared" si="3"/>
        <v>-1092.5899999999999</v>
      </c>
      <c r="N29" s="72">
        <f t="shared" si="3"/>
        <v>-1516.14</v>
      </c>
      <c r="O29" s="72">
        <f t="shared" si="3"/>
        <v>-2063.8700000000003</v>
      </c>
      <c r="P29" s="72">
        <f t="shared" si="3"/>
        <v>-19295.91</v>
      </c>
      <c r="Q29" s="73">
        <f>SUM(Q14:Q28)</f>
        <v>19800</v>
      </c>
    </row>
    <row r="30" spans="1:17" x14ac:dyDescent="0.3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1:17" s="80" customFormat="1" x14ac:dyDescent="0.35">
      <c r="A31" s="80" t="s">
        <v>507</v>
      </c>
      <c r="C31" s="81"/>
      <c r="D31" s="81">
        <f>D12+D29</f>
        <v>8262.1200000000008</v>
      </c>
      <c r="E31" s="81">
        <f t="shared" ref="E31:P31" si="4">E12+E29</f>
        <v>-788.01000000000022</v>
      </c>
      <c r="F31" s="81">
        <f t="shared" si="4"/>
        <v>-278.21000000000004</v>
      </c>
      <c r="G31" s="81">
        <f t="shared" si="4"/>
        <v>1872.6999999999998</v>
      </c>
      <c r="H31" s="81">
        <f t="shared" si="4"/>
        <v>-3175.2999999999993</v>
      </c>
      <c r="I31" s="81">
        <f t="shared" si="4"/>
        <v>-899.24000000000024</v>
      </c>
      <c r="J31" s="81">
        <f t="shared" si="4"/>
        <v>-859.58999999999992</v>
      </c>
      <c r="K31" s="81">
        <f t="shared" si="4"/>
        <v>-166.18999999999994</v>
      </c>
      <c r="L31" s="81">
        <f t="shared" si="4"/>
        <v>3976.25</v>
      </c>
      <c r="M31" s="81">
        <f t="shared" si="4"/>
        <v>-646.83999999999992</v>
      </c>
      <c r="N31" s="81">
        <f t="shared" si="4"/>
        <v>-59.660000000000082</v>
      </c>
      <c r="O31" s="81">
        <f t="shared" si="4"/>
        <v>-1495.5200000000004</v>
      </c>
      <c r="P31" s="81">
        <f t="shared" si="4"/>
        <v>5742.5099999999984</v>
      </c>
      <c r="Q31" s="82"/>
    </row>
    <row r="32" spans="1:17" x14ac:dyDescent="0.3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1:19" ht="13.5" thickBot="1" x14ac:dyDescent="0.4"/>
    <row r="34" spans="1:19" ht="13.5" thickTop="1" x14ac:dyDescent="0.35">
      <c r="A34" s="9" t="s">
        <v>499</v>
      </c>
      <c r="C34" s="68"/>
      <c r="D34" s="71">
        <f>SUMIFS('CASH BOOK 2018'!$K:$K,'CASH BOOK 2018'!$B:$B,'CASHFLOW 2018'!D$1,'CASH BOOK 2018'!$D:$D,'CASHFLOW 2018'!$A34)</f>
        <v>120</v>
      </c>
      <c r="E34" s="71">
        <f>SUMIFS('CASH BOOK 2018'!$K:$K,'CASH BOOK 2018'!$B:$B,'CASHFLOW 2018'!E$1,'CASH BOOK 2018'!$D:$D,'CASHFLOW 2018'!$A34)</f>
        <v>425</v>
      </c>
      <c r="F34" s="71">
        <f>SUMIFS('CASH BOOK 2018'!$K:$K,'CASH BOOK 2018'!$B:$B,'CASHFLOW 2018'!F$1,'CASH BOOK 2018'!$D:$D,'CASHFLOW 2018'!$A34)</f>
        <v>50</v>
      </c>
      <c r="G34" s="71">
        <f>SUMIFS('CASH BOOK 2018'!$K:$K,'CASH BOOK 2018'!$B:$B,'CASHFLOW 2018'!G$1,'CASH BOOK 2018'!$D:$D,'CASHFLOW 2018'!$A34)</f>
        <v>350</v>
      </c>
      <c r="H34" s="71">
        <f>SUMIFS('CASH BOOK 2018'!$K:$K,'CASH BOOK 2018'!$B:$B,'CASHFLOW 2018'!H$1,'CASH BOOK 2018'!$D:$D,'CASHFLOW 2018'!$A34)</f>
        <v>100</v>
      </c>
      <c r="I34" s="71">
        <f>SUMIFS('CASH BOOK 2018'!$K:$K,'CASH BOOK 2018'!$B:$B,'CASHFLOW 2018'!I$1,'CASH BOOK 2018'!$D:$D,'CASHFLOW 2018'!$A34)</f>
        <v>700</v>
      </c>
      <c r="J34" s="71">
        <f>SUMIFS('CASH BOOK 2018'!$K:$K,'CASH BOOK 2018'!$B:$B,'CASHFLOW 2018'!J$1,'CASH BOOK 2018'!$D:$D,'CASHFLOW 2018'!$A34)</f>
        <v>250</v>
      </c>
      <c r="K34" s="71">
        <f>SUMIFS('CASH BOOK 2018'!$K:$K,'CASH BOOK 2018'!$B:$B,'CASHFLOW 2018'!K$1,'CASH BOOK 2018'!$D:$D,'CASHFLOW 2018'!$A34)</f>
        <v>150</v>
      </c>
      <c r="L34" s="71">
        <f>SUMIFS('CASH BOOK 2018'!$K:$K,'CASH BOOK 2018'!$B:$B,'CASHFLOW 2018'!L$1,'CASH BOOK 2018'!$D:$D,'CASHFLOW 2018'!$A34)</f>
        <v>350</v>
      </c>
      <c r="M34" s="71">
        <f>SUMIFS('CASH BOOK 2018'!$K:$K,'CASH BOOK 2018'!$B:$B,'CASHFLOW 2018'!M$1,'CASH BOOK 2018'!$D:$D,'CASHFLOW 2018'!$A34)</f>
        <v>250</v>
      </c>
      <c r="N34" s="71">
        <f>SUMIFS('CASH BOOK 2018'!$K:$K,'CASH BOOK 2018'!$B:$B,'CASHFLOW 2018'!N$1,'CASH BOOK 2018'!$D:$D,'CASHFLOW 2018'!$A34)</f>
        <v>200</v>
      </c>
      <c r="O34" s="71">
        <f>SUMIFS('CASH BOOK 2018'!$K:$K,'CASH BOOK 2018'!$B:$B,'CASHFLOW 2018'!O$1,'CASH BOOK 2018'!$D:$D,'CASHFLOW 2018'!$A34)</f>
        <v>50</v>
      </c>
      <c r="P34" s="69">
        <f>SUM(D34:O34)</f>
        <v>2995</v>
      </c>
      <c r="Q34" s="70"/>
      <c r="R34" s="93" t="s">
        <v>522</v>
      </c>
      <c r="S34" s="94"/>
    </row>
    <row r="35" spans="1:19" x14ac:dyDescent="0.35">
      <c r="A35" s="9" t="s">
        <v>504</v>
      </c>
      <c r="C35" s="68"/>
      <c r="D35" s="71">
        <f>SUMIFS('CASH BOOK 2018'!$K:$K,'CASH BOOK 2018'!$B:$B,'CASHFLOW 2018'!D$1,'CASH BOOK 2018'!$D:$D,'CASHFLOW 2018'!$A35)</f>
        <v>-100</v>
      </c>
      <c r="E35" s="71">
        <f>SUMIFS('CASH BOOK 2018'!$K:$K,'CASH BOOK 2018'!$B:$B,'CASHFLOW 2018'!E$1,'CASH BOOK 2018'!$D:$D,'CASHFLOW 2018'!$A35)</f>
        <v>-75</v>
      </c>
      <c r="F35" s="71">
        <f>SUMIFS('CASH BOOK 2018'!$K:$K,'CASH BOOK 2018'!$B:$B,'CASHFLOW 2018'!F$1,'CASH BOOK 2018'!$D:$D,'CASHFLOW 2018'!$A35)</f>
        <v>-270</v>
      </c>
      <c r="G35" s="71">
        <f>SUMIFS('CASH BOOK 2018'!$K:$K,'CASH BOOK 2018'!$B:$B,'CASHFLOW 2018'!G$1,'CASH BOOK 2018'!$D:$D,'CASHFLOW 2018'!$A35)</f>
        <v>0</v>
      </c>
      <c r="H35" s="71">
        <f>SUMIFS('CASH BOOK 2018'!$K:$K,'CASH BOOK 2018'!$B:$B,'CASHFLOW 2018'!H$1,'CASH BOOK 2018'!$D:$D,'CASHFLOW 2018'!$A35)</f>
        <v>-200</v>
      </c>
      <c r="I35" s="71">
        <f>SUMIFS('CASH BOOK 2018'!$K:$K,'CASH BOOK 2018'!$B:$B,'CASHFLOW 2018'!I$1,'CASH BOOK 2018'!$D:$D,'CASHFLOW 2018'!$A35)</f>
        <v>-500</v>
      </c>
      <c r="J35" s="71">
        <f>SUMIFS('CASH BOOK 2018'!$K:$K,'CASH BOOK 2018'!$B:$B,'CASHFLOW 2018'!J$1,'CASH BOOK 2018'!$D:$D,'CASHFLOW 2018'!$A35)</f>
        <v>-400</v>
      </c>
      <c r="K35" s="71">
        <f>SUMIFS('CASH BOOK 2018'!$K:$K,'CASH BOOK 2018'!$B:$B,'CASHFLOW 2018'!K$1,'CASH BOOK 2018'!$D:$D,'CASHFLOW 2018'!$A35)</f>
        <v>-400</v>
      </c>
      <c r="L35" s="71">
        <f>SUMIFS('CASH BOOK 2018'!$K:$K,'CASH BOOK 2018'!$B:$B,'CASHFLOW 2018'!L$1,'CASH BOOK 2018'!$D:$D,'CASHFLOW 2018'!$A35)</f>
        <v>-200</v>
      </c>
      <c r="M35" s="71">
        <f>SUMIFS('CASH BOOK 2018'!$K:$K,'CASH BOOK 2018'!$B:$B,'CASHFLOW 2018'!M$1,'CASH BOOK 2018'!$D:$D,'CASHFLOW 2018'!$A35)</f>
        <v>-150</v>
      </c>
      <c r="N35" s="71">
        <f>SUMIFS('CASH BOOK 2018'!$K:$K,'CASH BOOK 2018'!$B:$B,'CASHFLOW 2018'!N$1,'CASH BOOK 2018'!$D:$D,'CASHFLOW 2018'!$A35)</f>
        <v>-250</v>
      </c>
      <c r="O35" s="71">
        <f>SUMIFS('CASH BOOK 2018'!$K:$K,'CASH BOOK 2018'!$B:$B,'CASHFLOW 2018'!O$1,'CASH BOOK 2018'!$D:$D,'CASHFLOW 2018'!$A35)</f>
        <v>-450</v>
      </c>
      <c r="P35" s="69">
        <f>SUM(D35:O35)</f>
        <v>-2995</v>
      </c>
      <c r="Q35" s="70"/>
      <c r="R35" s="95"/>
      <c r="S35" s="96"/>
    </row>
    <row r="36" spans="1:19" s="80" customFormat="1" ht="13.5" thickBot="1" x14ac:dyDescent="0.4">
      <c r="A36" s="80" t="s">
        <v>506</v>
      </c>
      <c r="C36" s="119">
        <f>-'ACCOUNTS 21'!E52</f>
        <v>280</v>
      </c>
      <c r="D36" s="90">
        <f>SUM(D34:D35)</f>
        <v>20</v>
      </c>
      <c r="E36" s="90">
        <f t="shared" ref="E36:P36" si="5">SUM(E34:E35)</f>
        <v>350</v>
      </c>
      <c r="F36" s="90">
        <f t="shared" si="5"/>
        <v>-220</v>
      </c>
      <c r="G36" s="90">
        <f t="shared" si="5"/>
        <v>350</v>
      </c>
      <c r="H36" s="90">
        <f t="shared" si="5"/>
        <v>-100</v>
      </c>
      <c r="I36" s="90">
        <f t="shared" si="5"/>
        <v>200</v>
      </c>
      <c r="J36" s="90">
        <f t="shared" si="5"/>
        <v>-150</v>
      </c>
      <c r="K36" s="90">
        <f t="shared" si="5"/>
        <v>-250</v>
      </c>
      <c r="L36" s="90">
        <f t="shared" si="5"/>
        <v>150</v>
      </c>
      <c r="M36" s="90">
        <f t="shared" si="5"/>
        <v>100</v>
      </c>
      <c r="N36" s="90">
        <f t="shared" si="5"/>
        <v>-50</v>
      </c>
      <c r="O36" s="90">
        <f t="shared" si="5"/>
        <v>-400</v>
      </c>
      <c r="P36" s="90">
        <f t="shared" si="5"/>
        <v>0</v>
      </c>
      <c r="Q36" s="91"/>
      <c r="R36" s="97">
        <f>C36+P36</f>
        <v>280</v>
      </c>
      <c r="S36" s="98"/>
    </row>
    <row r="37" spans="1:19" ht="13.5" thickTop="1" x14ac:dyDescent="0.3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1:19" s="80" customFormat="1" x14ac:dyDescent="0.35">
      <c r="A38" s="80" t="s">
        <v>508</v>
      </c>
      <c r="C38" s="81">
        <f>'ACCOUNTS 21'!E46</f>
        <v>15873.52</v>
      </c>
      <c r="D38" s="84">
        <f t="shared" ref="D38:O38" si="6">C38+D31+D36</f>
        <v>24155.64</v>
      </c>
      <c r="E38" s="84">
        <f t="shared" si="6"/>
        <v>23717.629999999997</v>
      </c>
      <c r="F38" s="84">
        <f t="shared" si="6"/>
        <v>23219.42</v>
      </c>
      <c r="G38" s="84">
        <f t="shared" si="6"/>
        <v>25442.12</v>
      </c>
      <c r="H38" s="84">
        <f t="shared" si="6"/>
        <v>22166.82</v>
      </c>
      <c r="I38" s="84">
        <f t="shared" si="6"/>
        <v>21467.579999999998</v>
      </c>
      <c r="J38" s="84">
        <f t="shared" si="6"/>
        <v>20457.989999999998</v>
      </c>
      <c r="K38" s="84">
        <f t="shared" si="6"/>
        <v>20041.8</v>
      </c>
      <c r="L38" s="84">
        <f t="shared" si="6"/>
        <v>24168.05</v>
      </c>
      <c r="M38" s="84">
        <f t="shared" si="6"/>
        <v>23621.21</v>
      </c>
      <c r="N38" s="84">
        <f t="shared" si="6"/>
        <v>23511.55</v>
      </c>
      <c r="O38" s="84">
        <f t="shared" si="6"/>
        <v>21616.03</v>
      </c>
      <c r="P38" s="84">
        <f>O38</f>
        <v>21616.03</v>
      </c>
      <c r="Q38" s="82"/>
    </row>
    <row r="39" spans="1:19" s="80" customFormat="1" x14ac:dyDescent="0.35">
      <c r="C39" s="81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2"/>
    </row>
    <row r="40" spans="1:19" x14ac:dyDescent="0.35">
      <c r="A40" s="9" t="s">
        <v>505</v>
      </c>
      <c r="C40" s="68"/>
      <c r="D40" s="71">
        <f>SUMIFS('CASH BOOK 2017'!$K:$K,'CASH BOOK 2017'!$B:$B,'CASHFLOW 2018'!D$1,'CASH BOOK 2017'!$D:$D,'CASHFLOW 2018'!$A40)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92">
        <f>SUM(D40:O40)</f>
        <v>0</v>
      </c>
      <c r="Q40" s="70">
        <v>0</v>
      </c>
    </row>
    <row r="41" spans="1:19" x14ac:dyDescent="0.35">
      <c r="A41" s="9" t="s">
        <v>39</v>
      </c>
      <c r="C41" s="68"/>
      <c r="D41" s="71">
        <f>SUMIFS('CASH BOOK 2017'!$K:$K,'CASH BOOK 2017'!$B:$B,'CASHFLOW 2018'!D$1,'CASH BOOK 2017'!$D:$D,'CASHFLOW 2018'!$A41)</f>
        <v>0</v>
      </c>
      <c r="E41" s="68"/>
      <c r="F41" s="68">
        <v>36.130000000000003</v>
      </c>
      <c r="G41" s="68"/>
      <c r="H41" s="68"/>
      <c r="I41" s="68">
        <v>36.65</v>
      </c>
      <c r="J41" s="68"/>
      <c r="K41" s="68"/>
      <c r="L41" s="68">
        <v>37.159999999999997</v>
      </c>
      <c r="M41" s="68"/>
      <c r="N41" s="68"/>
      <c r="O41" s="68">
        <v>37.28</v>
      </c>
      <c r="P41" s="69">
        <f>SUM(D41:O41)</f>
        <v>147.22</v>
      </c>
      <c r="Q41" s="70">
        <v>200</v>
      </c>
    </row>
    <row r="42" spans="1:19" s="80" customFormat="1" x14ac:dyDescent="0.35">
      <c r="A42" s="79" t="s">
        <v>509</v>
      </c>
      <c r="B42" s="79"/>
      <c r="C42" s="83"/>
      <c r="D42" s="83">
        <f>SUM(D40:D41)</f>
        <v>0</v>
      </c>
      <c r="E42" s="83">
        <f t="shared" ref="E42:P42" si="7">SUM(E40:E41)</f>
        <v>0</v>
      </c>
      <c r="F42" s="83">
        <f t="shared" si="7"/>
        <v>36.130000000000003</v>
      </c>
      <c r="G42" s="83">
        <f t="shared" si="7"/>
        <v>0</v>
      </c>
      <c r="H42" s="83">
        <f t="shared" si="7"/>
        <v>0</v>
      </c>
      <c r="I42" s="83">
        <f t="shared" si="7"/>
        <v>36.65</v>
      </c>
      <c r="J42" s="83">
        <f t="shared" si="7"/>
        <v>0</v>
      </c>
      <c r="K42" s="83">
        <f t="shared" si="7"/>
        <v>0</v>
      </c>
      <c r="L42" s="83">
        <f t="shared" si="7"/>
        <v>37.159999999999997</v>
      </c>
      <c r="M42" s="83">
        <f t="shared" si="7"/>
        <v>0</v>
      </c>
      <c r="N42" s="83">
        <f t="shared" si="7"/>
        <v>0</v>
      </c>
      <c r="O42" s="83">
        <f t="shared" si="7"/>
        <v>37.28</v>
      </c>
      <c r="P42" s="83">
        <f t="shared" si="7"/>
        <v>147.22</v>
      </c>
      <c r="Q42" s="82"/>
    </row>
    <row r="44" spans="1:19" x14ac:dyDescent="0.35">
      <c r="A44" s="9" t="s">
        <v>15</v>
      </c>
      <c r="C44" s="68">
        <f>'ACCOUNTS 21'!E48</f>
        <v>11817.839999999998</v>
      </c>
      <c r="D44" s="71">
        <f>C44+D42</f>
        <v>11817.839999999998</v>
      </c>
      <c r="E44" s="71">
        <f t="shared" ref="E44:O44" si="8">D44+E42</f>
        <v>11817.839999999998</v>
      </c>
      <c r="F44" s="71">
        <f t="shared" si="8"/>
        <v>11853.969999999998</v>
      </c>
      <c r="G44" s="71">
        <f t="shared" si="8"/>
        <v>11853.969999999998</v>
      </c>
      <c r="H44" s="71">
        <f t="shared" si="8"/>
        <v>11853.969999999998</v>
      </c>
      <c r="I44" s="71">
        <f t="shared" si="8"/>
        <v>11890.619999999997</v>
      </c>
      <c r="J44" s="71">
        <f t="shared" si="8"/>
        <v>11890.619999999997</v>
      </c>
      <c r="K44" s="71">
        <f t="shared" si="8"/>
        <v>11890.619999999997</v>
      </c>
      <c r="L44" s="71">
        <f t="shared" si="8"/>
        <v>11927.779999999997</v>
      </c>
      <c r="M44" s="71">
        <f t="shared" si="8"/>
        <v>11927.779999999997</v>
      </c>
      <c r="N44" s="71">
        <f t="shared" si="8"/>
        <v>11927.779999999997</v>
      </c>
      <c r="O44" s="71">
        <f t="shared" si="8"/>
        <v>11965.059999999998</v>
      </c>
      <c r="P44" s="71">
        <f>O44</f>
        <v>11965.059999999998</v>
      </c>
      <c r="Q44" s="70"/>
    </row>
    <row r="46" spans="1:19" s="85" customFormat="1" x14ac:dyDescent="0.35">
      <c r="A46" s="85" t="s">
        <v>510</v>
      </c>
      <c r="C46" s="86"/>
      <c r="D46" s="8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8"/>
      <c r="Q46" s="89"/>
    </row>
    <row r="47" spans="1:19" s="85" customFormat="1" x14ac:dyDescent="0.35">
      <c r="A47" s="85" t="s">
        <v>511</v>
      </c>
      <c r="C47" s="86"/>
      <c r="D47" s="8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8"/>
      <c r="Q47" s="89"/>
    </row>
    <row r="48" spans="1:19" x14ac:dyDescent="0.3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70"/>
    </row>
    <row r="49" spans="3:17" x14ac:dyDescent="0.35">
      <c r="C49" s="6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0"/>
    </row>
    <row r="50" spans="3:17" x14ac:dyDescent="0.3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0"/>
    </row>
    <row r="51" spans="3:17" x14ac:dyDescent="0.3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3:17" x14ac:dyDescent="0.3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70"/>
    </row>
    <row r="53" spans="3:17" x14ac:dyDescent="0.3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60" orientation="landscape"/>
  <headerFooter alignWithMargins="0">
    <oddHeader>&amp;L&amp;"Arial,Bold"Year ended 31 December 2017
&amp;C&amp;"Trebuchet MS,Bold"WILLASTON MEMORIAL HALL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00A8-8A5E-489D-87E9-F599E6B33A69}">
  <sheetPr>
    <pageSetUpPr fitToPage="1"/>
  </sheetPr>
  <dimension ref="A1:AC85"/>
  <sheetViews>
    <sheetView showGridLines="0" topLeftCell="A41" workbookViewId="0">
      <selection activeCell="I61" sqref="I61"/>
    </sheetView>
  </sheetViews>
  <sheetFormatPr defaultColWidth="8.7265625" defaultRowHeight="12.5" outlineLevelRow="1" outlineLevelCol="1" x14ac:dyDescent="0.25"/>
  <cols>
    <col min="1" max="1" width="37.1796875" bestFit="1" customWidth="1"/>
    <col min="2" max="2" width="8.7265625" style="1"/>
    <col min="3" max="3" width="11.453125" style="1" hidden="1" customWidth="1" outlineLevel="1"/>
    <col min="4" max="4" width="1.6328125" style="1" customWidth="1" collapsed="1"/>
    <col min="5" max="5" width="11.453125" style="1" hidden="1" customWidth="1" outlineLevel="1"/>
    <col min="6" max="6" width="1.6328125" style="1" customWidth="1" collapsed="1"/>
    <col min="7" max="7" width="13.1796875" style="1" bestFit="1" customWidth="1"/>
    <col min="8" max="8" width="1.6328125" style="1" customWidth="1" collapsed="1"/>
    <col min="9" max="9" width="13.1796875" style="1" bestFit="1" customWidth="1"/>
    <col min="10" max="10" width="1.6328125" style="1" customWidth="1" collapsed="1"/>
    <col min="11" max="11" width="12.6328125" style="1" customWidth="1"/>
    <col min="12" max="12" width="13.1796875" style="1" bestFit="1" customWidth="1"/>
    <col min="13" max="13" width="13.1796875" style="101" bestFit="1" customWidth="1"/>
    <col min="14" max="15" width="9.81640625" style="101" bestFit="1" customWidth="1"/>
    <col min="16" max="16" width="6.6328125" style="1" customWidth="1"/>
    <col min="17" max="17" width="6.6328125" style="21" customWidth="1"/>
    <col min="18" max="18" width="2.453125" style="21" customWidth="1"/>
    <col min="19" max="19" width="6.6328125" style="21" customWidth="1"/>
    <col min="20" max="16384" width="8.7265625" style="1"/>
  </cols>
  <sheetData>
    <row r="1" spans="1:25" ht="15.5" x14ac:dyDescent="0.35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99"/>
      <c r="N1" s="102"/>
      <c r="O1" s="99"/>
      <c r="P1" s="6"/>
    </row>
    <row r="2" spans="1:25" ht="15.5" x14ac:dyDescent="0.35">
      <c r="A2" s="138"/>
      <c r="B2" s="139"/>
      <c r="C2" s="139"/>
      <c r="D2" s="140" t="s">
        <v>0</v>
      </c>
      <c r="E2" s="139"/>
      <c r="F2" s="140"/>
      <c r="G2" s="139"/>
      <c r="H2" s="140"/>
      <c r="I2" s="139"/>
      <c r="J2" s="140"/>
      <c r="K2" s="139"/>
      <c r="L2" s="139"/>
      <c r="M2" s="99"/>
      <c r="N2" s="99"/>
      <c r="O2" s="99"/>
      <c r="P2" s="6"/>
    </row>
    <row r="3" spans="1:25" ht="15.5" x14ac:dyDescent="0.3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99"/>
      <c r="N3" s="99"/>
      <c r="O3" s="99"/>
      <c r="P3" s="6"/>
    </row>
    <row r="4" spans="1:25" ht="15.5" x14ac:dyDescent="0.35">
      <c r="A4" s="138"/>
      <c r="B4" s="141"/>
      <c r="C4" s="142"/>
      <c r="D4" s="141"/>
      <c r="F4" s="142" t="s">
        <v>2324</v>
      </c>
      <c r="G4" s="141"/>
      <c r="H4" s="141"/>
      <c r="I4" s="141"/>
      <c r="J4" s="141"/>
      <c r="K4" s="141"/>
      <c r="L4" s="141"/>
      <c r="M4" s="351"/>
      <c r="N4" s="103"/>
      <c r="O4" s="99"/>
      <c r="P4" s="6"/>
    </row>
    <row r="5" spans="1:25" ht="15.5" x14ac:dyDescent="0.35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99"/>
      <c r="M5" s="351"/>
      <c r="N5" s="99"/>
      <c r="O5" s="99"/>
      <c r="P5" s="6"/>
    </row>
    <row r="6" spans="1:25" ht="15.5" x14ac:dyDescent="0.35">
      <c r="A6" s="139"/>
      <c r="B6" s="139"/>
      <c r="C6" s="144"/>
      <c r="D6" s="139"/>
      <c r="E6" s="144"/>
      <c r="F6" s="139"/>
      <c r="G6" s="144"/>
      <c r="H6" s="139"/>
      <c r="I6" s="144"/>
      <c r="J6" s="139"/>
      <c r="K6" s="247"/>
      <c r="L6" s="345" t="s">
        <v>1704</v>
      </c>
      <c r="M6" s="351"/>
    </row>
    <row r="7" spans="1:25" ht="31" x14ac:dyDescent="0.35">
      <c r="A7" s="146"/>
      <c r="B7" s="146"/>
      <c r="C7" s="147">
        <v>2016</v>
      </c>
      <c r="D7" s="139"/>
      <c r="E7" s="147">
        <v>2017</v>
      </c>
      <c r="F7" s="139"/>
      <c r="G7" s="393" t="s">
        <v>2181</v>
      </c>
      <c r="H7" s="139"/>
      <c r="I7" s="147">
        <v>2023</v>
      </c>
      <c r="J7" s="139"/>
      <c r="K7" s="247"/>
      <c r="L7" s="410">
        <v>2023</v>
      </c>
      <c r="M7" s="351"/>
      <c r="N7" s="344"/>
      <c r="V7" s="36"/>
    </row>
    <row r="8" spans="1:25" s="22" customFormat="1" ht="15.5" x14ac:dyDescent="0.35">
      <c r="A8" s="148" t="s">
        <v>1</v>
      </c>
      <c r="B8" s="140"/>
      <c r="C8" s="149"/>
      <c r="D8" s="150"/>
      <c r="E8" s="149"/>
      <c r="F8" s="150"/>
      <c r="G8" s="149"/>
      <c r="H8" s="150"/>
      <c r="I8" s="149"/>
      <c r="J8" s="150"/>
      <c r="K8" s="319"/>
      <c r="M8" s="351"/>
      <c r="V8" s="37"/>
    </row>
    <row r="9" spans="1:25" s="22" customFormat="1" ht="15.5" x14ac:dyDescent="0.35">
      <c r="A9" s="150"/>
      <c r="B9" s="140"/>
      <c r="C9" s="149"/>
      <c r="D9" s="150"/>
      <c r="E9" s="149"/>
      <c r="F9" s="150"/>
      <c r="G9" s="149"/>
      <c r="H9" s="150"/>
      <c r="I9" s="149"/>
      <c r="J9" s="150"/>
      <c r="K9" s="319"/>
      <c r="M9" s="351"/>
      <c r="V9" s="37"/>
    </row>
    <row r="10" spans="1:25" ht="15.5" x14ac:dyDescent="0.35">
      <c r="A10" s="151" t="s">
        <v>2</v>
      </c>
      <c r="B10" s="151"/>
      <c r="C10" s="152">
        <v>12528.9</v>
      </c>
      <c r="D10" s="151"/>
      <c r="E10" s="152">
        <f>+'CASHFLOW 2017'!P3</f>
        <v>17898.53</v>
      </c>
      <c r="F10" s="151"/>
      <c r="G10" s="366">
        <f>'ACCOUNTS 22'!J10</f>
        <v>20844.260000000002</v>
      </c>
      <c r="H10" s="367"/>
      <c r="I10" s="366">
        <f>+'CASHFLOW 2023'!P3</f>
        <v>16707.04</v>
      </c>
      <c r="J10" s="367"/>
      <c r="K10" s="368"/>
      <c r="L10" s="369">
        <f>'Budget 2023'!D30</f>
        <v>23000</v>
      </c>
      <c r="M10" s="351"/>
      <c r="N10" s="344">
        <f>I10/G10</f>
        <v>0.80151754008057852</v>
      </c>
      <c r="V10" s="36"/>
    </row>
    <row r="11" spans="1:25" ht="15.5" x14ac:dyDescent="0.35">
      <c r="A11" s="151" t="s">
        <v>3</v>
      </c>
      <c r="B11" s="151"/>
      <c r="C11" s="144">
        <v>4960.3</v>
      </c>
      <c r="D11" s="151"/>
      <c r="E11" s="144">
        <f>+'CASHFLOW 2017'!P4</f>
        <v>5356.9</v>
      </c>
      <c r="F11" s="151"/>
      <c r="G11" s="366">
        <f>'ACCOUNTS 22'!J11</f>
        <v>4472</v>
      </c>
      <c r="H11" s="367"/>
      <c r="I11" s="366">
        <f>+'CASHFLOW 2023'!P4</f>
        <v>3227.5</v>
      </c>
      <c r="J11" s="367"/>
      <c r="K11" s="368"/>
      <c r="L11" s="369">
        <f>'Budget 2023'!D35</f>
        <v>4500</v>
      </c>
      <c r="M11" s="351"/>
      <c r="N11" s="344">
        <f>I11/G11</f>
        <v>0.72171288014311274</v>
      </c>
      <c r="V11" s="36"/>
    </row>
    <row r="12" spans="1:25" ht="15.5" x14ac:dyDescent="0.35">
      <c r="A12" s="151" t="s">
        <v>620</v>
      </c>
      <c r="B12" s="151"/>
      <c r="C12" s="144">
        <f>3238.19-C15</f>
        <v>140</v>
      </c>
      <c r="D12" s="151"/>
      <c r="E12" s="144">
        <f>+'CASHFLOW 2017'!P5</f>
        <v>105</v>
      </c>
      <c r="F12" s="151"/>
      <c r="G12" s="366">
        <f>'ACCOUNTS 22'!J12</f>
        <v>80</v>
      </c>
      <c r="H12" s="367"/>
      <c r="I12" s="366">
        <f>+'CASHFLOW 2023'!P5</f>
        <v>100</v>
      </c>
      <c r="J12" s="367"/>
      <c r="K12" s="368"/>
      <c r="L12" s="369">
        <v>100</v>
      </c>
      <c r="M12" s="351"/>
      <c r="N12" s="344"/>
      <c r="V12" s="36"/>
    </row>
    <row r="13" spans="1:25" ht="15.5" hidden="1" outlineLevel="1" x14ac:dyDescent="0.35">
      <c r="A13" s="153" t="s">
        <v>319</v>
      </c>
      <c r="B13" s="151"/>
      <c r="C13" s="144"/>
      <c r="D13" s="151"/>
      <c r="E13" s="144"/>
      <c r="F13" s="151"/>
      <c r="G13" s="366">
        <f>'ACCOUNTS 22'!J13</f>
        <v>0</v>
      </c>
      <c r="H13" s="367"/>
      <c r="I13" s="370"/>
      <c r="J13" s="367"/>
      <c r="K13" s="368"/>
      <c r="L13" s="369"/>
      <c r="M13" s="351"/>
      <c r="N13" s="344"/>
      <c r="V13" s="38"/>
      <c r="W13" s="4"/>
      <c r="X13" s="4"/>
      <c r="Y13" s="4"/>
    </row>
    <row r="14" spans="1:25" ht="15.5" hidden="1" outlineLevel="1" x14ac:dyDescent="0.35">
      <c r="A14" s="151" t="s">
        <v>434</v>
      </c>
      <c r="B14" s="151"/>
      <c r="C14" s="144">
        <v>0</v>
      </c>
      <c r="D14" s="151"/>
      <c r="E14" s="144">
        <f>'CASHFLOW 2017'!P6</f>
        <v>13221.12</v>
      </c>
      <c r="F14" s="151"/>
      <c r="G14" s="366">
        <f>'ACCOUNTS 22'!J14</f>
        <v>0</v>
      </c>
      <c r="H14" s="367"/>
      <c r="I14" s="366">
        <f>+'CASHFLOW 2020'!P6</f>
        <v>0</v>
      </c>
      <c r="J14" s="367"/>
      <c r="K14" s="368"/>
      <c r="L14" s="369"/>
      <c r="M14" s="351"/>
      <c r="N14" s="344"/>
      <c r="V14" s="38"/>
      <c r="W14" s="4"/>
      <c r="X14" s="4"/>
      <c r="Y14" s="4"/>
    </row>
    <row r="15" spans="1:25" ht="15.5" hidden="1" outlineLevel="1" x14ac:dyDescent="0.35">
      <c r="A15" s="151" t="s">
        <v>318</v>
      </c>
      <c r="B15" s="151"/>
      <c r="C15" s="144">
        <v>3098.19</v>
      </c>
      <c r="D15" s="151"/>
      <c r="E15" s="144">
        <f>'CASHFLOW 2017'!P7</f>
        <v>8580</v>
      </c>
      <c r="F15" s="151"/>
      <c r="G15" s="366">
        <f>'ACCOUNTS 22'!J15</f>
        <v>1000</v>
      </c>
      <c r="H15" s="367"/>
      <c r="I15" s="366">
        <f>+'CASHFLOW 2020'!P7</f>
        <v>1000</v>
      </c>
      <c r="J15" s="367"/>
      <c r="K15" s="368"/>
      <c r="L15" s="369"/>
      <c r="M15" s="351"/>
      <c r="N15" s="344"/>
      <c r="V15" s="38"/>
      <c r="W15" s="4"/>
      <c r="X15" s="4"/>
      <c r="Y15" s="4"/>
    </row>
    <row r="16" spans="1:25" ht="15.5" hidden="1" outlineLevel="1" x14ac:dyDescent="0.35">
      <c r="A16" s="151" t="s">
        <v>38</v>
      </c>
      <c r="B16" s="151"/>
      <c r="C16" s="144">
        <v>0</v>
      </c>
      <c r="D16" s="151"/>
      <c r="E16" s="144">
        <f>+'CASHFLOW 2017'!P9</f>
        <v>0</v>
      </c>
      <c r="F16" s="151"/>
      <c r="G16" s="366">
        <f>'ACCOUNTS 22'!J16</f>
        <v>0</v>
      </c>
      <c r="H16" s="367"/>
      <c r="I16" s="366">
        <f>+'CASHFLOW 2020'!P9</f>
        <v>0</v>
      </c>
      <c r="J16" s="367"/>
      <c r="K16" s="368"/>
      <c r="L16" s="369"/>
      <c r="M16" s="351"/>
      <c r="N16" s="344"/>
      <c r="V16" s="36"/>
    </row>
    <row r="17" spans="1:29" s="13" customFormat="1" ht="15.5" collapsed="1" x14ac:dyDescent="0.35">
      <c r="A17" s="151" t="s">
        <v>4</v>
      </c>
      <c r="B17" s="151"/>
      <c r="C17" s="152">
        <v>602.89</v>
      </c>
      <c r="D17" s="151"/>
      <c r="E17" s="152">
        <f>+'CASHFLOW 2017'!P8+'CASHFLOW 2017'!P41</f>
        <v>153.78</v>
      </c>
      <c r="F17" s="151"/>
      <c r="G17" s="366">
        <f>'ACCOUNTS 22'!J17</f>
        <v>112.7</v>
      </c>
      <c r="H17" s="367"/>
      <c r="I17" s="366">
        <f>'CASHFLOW 2023'!P44+'CASHFLOW 2023'!P42</f>
        <v>0</v>
      </c>
      <c r="J17" s="367"/>
      <c r="K17" s="368"/>
      <c r="L17" s="371">
        <f>'Budget 2023'!D38</f>
        <v>360</v>
      </c>
      <c r="M17" s="351"/>
      <c r="V17" s="36"/>
    </row>
    <row r="18" spans="1:29" s="13" customFormat="1" ht="15.5" x14ac:dyDescent="0.35">
      <c r="A18" s="151" t="s">
        <v>2098</v>
      </c>
      <c r="B18" s="151"/>
      <c r="C18" s="144">
        <v>744.39</v>
      </c>
      <c r="D18" s="151"/>
      <c r="E18" s="144">
        <f>+'CASHFLOW 2017'!P11</f>
        <v>560.88</v>
      </c>
      <c r="F18" s="151"/>
      <c r="G18" s="366">
        <f>'ACCOUNTS 22'!J18</f>
        <v>0</v>
      </c>
      <c r="H18" s="367"/>
      <c r="I18" s="372">
        <f>+'CASHFLOW 2023'!P10</f>
        <v>754.19999999999993</v>
      </c>
      <c r="J18" s="367"/>
      <c r="K18" s="368"/>
      <c r="L18" s="371">
        <f>'Budget 2023'!D40</f>
        <v>300</v>
      </c>
      <c r="M18" s="351"/>
      <c r="V18" s="36"/>
    </row>
    <row r="19" spans="1:29" ht="15.5" x14ac:dyDescent="0.35">
      <c r="A19" s="151" t="s">
        <v>1405</v>
      </c>
      <c r="G19" s="366">
        <f>'ACCOUNTS 22'!J19</f>
        <v>0</v>
      </c>
      <c r="H19" s="373"/>
      <c r="I19" s="374">
        <f>+'CASHFLOW 2023'!P7</f>
        <v>0</v>
      </c>
      <c r="J19" s="373"/>
      <c r="K19" s="375"/>
      <c r="L19" s="369">
        <v>0</v>
      </c>
      <c r="M19" s="351"/>
      <c r="N19" s="344"/>
      <c r="V19" s="36"/>
    </row>
    <row r="20" spans="1:29" ht="15.5" x14ac:dyDescent="0.35">
      <c r="A20" s="151"/>
      <c r="B20" s="151"/>
      <c r="C20" s="154"/>
      <c r="D20" s="151"/>
      <c r="E20" s="154"/>
      <c r="F20" s="151"/>
      <c r="G20" s="376"/>
      <c r="H20" s="367"/>
      <c r="I20" s="376"/>
      <c r="J20" s="367"/>
      <c r="K20" s="368"/>
      <c r="L20" s="369"/>
      <c r="M20" s="351"/>
      <c r="N20" s="344"/>
      <c r="V20" s="36"/>
    </row>
    <row r="21" spans="1:29" ht="15.5" x14ac:dyDescent="0.35">
      <c r="A21" s="151"/>
      <c r="B21" s="151"/>
      <c r="C21" s="155">
        <f>SUM(C10:C18)</f>
        <v>22074.67</v>
      </c>
      <c r="D21" s="151"/>
      <c r="E21" s="155">
        <f>SUM(E10:E18)</f>
        <v>45876.21</v>
      </c>
      <c r="F21" s="151"/>
      <c r="G21" s="377">
        <f>+G10+G11+G12+G17+G18+G19</f>
        <v>25508.960000000003</v>
      </c>
      <c r="H21" s="367"/>
      <c r="I21" s="377">
        <f>+I10+I11+I12+I17+I18+I19</f>
        <v>20788.740000000002</v>
      </c>
      <c r="J21" s="367"/>
      <c r="K21" s="368"/>
      <c r="L21" s="378">
        <f>SUM(L9:L18)</f>
        <v>28260</v>
      </c>
      <c r="M21" s="351"/>
      <c r="N21" s="344"/>
      <c r="V21" s="36"/>
    </row>
    <row r="22" spans="1:29" ht="15.5" x14ac:dyDescent="0.35">
      <c r="A22" s="148" t="s">
        <v>6</v>
      </c>
      <c r="B22" s="151"/>
      <c r="C22" s="144"/>
      <c r="D22" s="151"/>
      <c r="E22" s="144"/>
      <c r="F22" s="151"/>
      <c r="G22" s="370"/>
      <c r="H22" s="367"/>
      <c r="I22" s="370"/>
      <c r="J22" s="367"/>
      <c r="K22" s="368"/>
      <c r="L22" s="369"/>
      <c r="M22" s="351"/>
      <c r="N22" s="344"/>
      <c r="V22" s="36"/>
    </row>
    <row r="23" spans="1:29" ht="15.5" x14ac:dyDescent="0.35">
      <c r="A23" s="150"/>
      <c r="B23" s="151"/>
      <c r="C23" s="144"/>
      <c r="D23" s="151"/>
      <c r="E23" s="144"/>
      <c r="F23" s="151"/>
      <c r="G23" s="370"/>
      <c r="H23" s="367"/>
      <c r="I23" s="370"/>
      <c r="J23" s="367"/>
      <c r="K23" s="368"/>
      <c r="L23" s="369"/>
      <c r="M23" s="351"/>
      <c r="N23" s="344"/>
      <c r="V23" s="36"/>
    </row>
    <row r="24" spans="1:29" ht="15.5" x14ac:dyDescent="0.35">
      <c r="A24" s="139" t="s">
        <v>7</v>
      </c>
      <c r="B24" s="151"/>
      <c r="C24" s="144">
        <v>-1814.23</v>
      </c>
      <c r="D24" s="151"/>
      <c r="E24" s="144">
        <f>+'CASHFLOW 2017'!P14</f>
        <v>-370.68</v>
      </c>
      <c r="F24" s="151"/>
      <c r="G24" s="366">
        <f>'ACCOUNTS 22'!J24</f>
        <v>-7444.16</v>
      </c>
      <c r="H24" s="367"/>
      <c r="I24" s="366">
        <f>+'CASHFLOW 2023'!P15</f>
        <v>-2371.7399999999998</v>
      </c>
      <c r="J24" s="367"/>
      <c r="K24" s="368"/>
      <c r="L24" s="369">
        <f>'Budget 2023'!D45</f>
        <v>-8000</v>
      </c>
      <c r="M24" s="351"/>
      <c r="N24" s="344"/>
      <c r="V24" s="36"/>
    </row>
    <row r="25" spans="1:29" ht="15.5" hidden="1" outlineLevel="1" x14ac:dyDescent="0.35">
      <c r="A25" s="139" t="s">
        <v>417</v>
      </c>
      <c r="B25" s="151"/>
      <c r="C25" s="144">
        <v>-26687.279999999999</v>
      </c>
      <c r="D25" s="151"/>
      <c r="E25" s="144">
        <f>'CASHFLOW 2017'!P15</f>
        <v>-4554.63</v>
      </c>
      <c r="F25" s="151"/>
      <c r="G25" s="366">
        <f>'ACCOUNTS 22'!J25</f>
        <v>0</v>
      </c>
      <c r="H25" s="367"/>
      <c r="I25" s="366">
        <f>+'CASHFLOW 2020'!P15</f>
        <v>0</v>
      </c>
      <c r="J25" s="367"/>
      <c r="K25" s="368"/>
      <c r="L25" s="369"/>
      <c r="M25" s="351"/>
      <c r="N25" s="344"/>
      <c r="V25" s="36"/>
    </row>
    <row r="26" spans="1:29" ht="15.5" hidden="1" outlineLevel="1" x14ac:dyDescent="0.35">
      <c r="A26" s="156" t="s">
        <v>74</v>
      </c>
      <c r="B26" s="151"/>
      <c r="C26" s="144">
        <v>-3244.97</v>
      </c>
      <c r="D26" s="143"/>
      <c r="E26" s="144">
        <f>+'CASHFLOW 2017'!P16</f>
        <v>0</v>
      </c>
      <c r="F26" s="143"/>
      <c r="G26" s="366">
        <f>'ACCOUNTS 22'!J26</f>
        <v>0</v>
      </c>
      <c r="H26" s="379"/>
      <c r="I26" s="366">
        <f>+'CASHFLOW 2020'!P16</f>
        <v>0</v>
      </c>
      <c r="J26" s="379"/>
      <c r="K26" s="368"/>
      <c r="L26" s="369"/>
      <c r="M26" s="351"/>
      <c r="N26" s="344"/>
      <c r="V26" s="36"/>
    </row>
    <row r="27" spans="1:29" ht="15.5" hidden="1" outlineLevel="1" x14ac:dyDescent="0.35">
      <c r="A27" s="156" t="s">
        <v>525</v>
      </c>
      <c r="B27" s="151"/>
      <c r="C27" s="144">
        <v>0</v>
      </c>
      <c r="D27" s="143"/>
      <c r="E27" s="144">
        <f>'CASHFLOW 2017'!P17</f>
        <v>-28428.58</v>
      </c>
      <c r="F27" s="143"/>
      <c r="G27" s="366">
        <f>'ACCOUNTS 22'!J27</f>
        <v>0</v>
      </c>
      <c r="H27" s="379"/>
      <c r="I27" s="366">
        <f>+'CASHFLOW 2020'!P17</f>
        <v>0</v>
      </c>
      <c r="J27" s="379"/>
      <c r="K27" s="368"/>
      <c r="L27" s="369"/>
      <c r="M27" s="351"/>
      <c r="N27" s="344"/>
      <c r="V27" s="36"/>
    </row>
    <row r="28" spans="1:29" ht="15.5" collapsed="1" x14ac:dyDescent="0.35">
      <c r="A28" s="139" t="s">
        <v>8</v>
      </c>
      <c r="B28" s="151"/>
      <c r="C28" s="144">
        <v>-1790.06</v>
      </c>
      <c r="D28" s="151"/>
      <c r="E28" s="144">
        <f>+'CASHFLOW 2017'!P18</f>
        <v>-1733.3700000000001</v>
      </c>
      <c r="F28" s="151"/>
      <c r="G28" s="366">
        <f>'ACCOUNTS 22'!J28</f>
        <v>-1845.58</v>
      </c>
      <c r="H28" s="367"/>
      <c r="I28" s="366">
        <f>+'CASHFLOW 2023'!P19</f>
        <v>-1306.42</v>
      </c>
      <c r="J28" s="367"/>
      <c r="K28" s="368"/>
      <c r="L28" s="369">
        <f>'Budget 2023'!D46</f>
        <v>-1800</v>
      </c>
      <c r="M28" s="351"/>
      <c r="N28" s="344"/>
      <c r="V28" s="36"/>
      <c r="Z28" s="1" t="s">
        <v>8</v>
      </c>
      <c r="AC28" s="1">
        <f>-I28</f>
        <v>1306.42</v>
      </c>
    </row>
    <row r="29" spans="1:29" ht="15.5" x14ac:dyDescent="0.35">
      <c r="A29" s="139" t="s">
        <v>9</v>
      </c>
      <c r="B29" s="151"/>
      <c r="C29" s="144">
        <v>-1355.56</v>
      </c>
      <c r="D29" s="151"/>
      <c r="E29" s="144">
        <f>+'CASHFLOW 2017'!P19</f>
        <v>-1435.4499999999998</v>
      </c>
      <c r="F29" s="151"/>
      <c r="G29" s="366">
        <f>'ACCOUNTS 22'!J29</f>
        <v>-1745.0400000000002</v>
      </c>
      <c r="H29" s="367"/>
      <c r="I29" s="366">
        <f>+'CASHFLOW 2023'!P20</f>
        <v>-1009.2199999999999</v>
      </c>
      <c r="J29" s="367"/>
      <c r="K29" s="368"/>
      <c r="L29" s="369">
        <f>'Budget 2023'!D47</f>
        <v>-1800</v>
      </c>
      <c r="M29" s="351"/>
      <c r="N29" s="344"/>
      <c r="V29" s="36"/>
      <c r="Z29" s="1" t="s">
        <v>63</v>
      </c>
      <c r="AC29" s="1">
        <f>-I29</f>
        <v>1009.2199999999999</v>
      </c>
    </row>
    <row r="30" spans="1:29" ht="15.5" x14ac:dyDescent="0.35">
      <c r="A30" s="139" t="s">
        <v>10</v>
      </c>
      <c r="B30" s="151"/>
      <c r="C30" s="144">
        <v>-1311.71</v>
      </c>
      <c r="D30" s="151"/>
      <c r="E30" s="144">
        <f>+'CASHFLOW 2017'!P21</f>
        <v>-1377.31</v>
      </c>
      <c r="F30" s="151"/>
      <c r="G30" s="366">
        <f>'ACCOUNTS 22'!J30</f>
        <v>-434.28999999999996</v>
      </c>
      <c r="H30" s="367"/>
      <c r="I30" s="366">
        <f>+'CASHFLOW 2023'!P23</f>
        <v>-2023.48</v>
      </c>
      <c r="J30" s="367"/>
      <c r="K30" s="368"/>
      <c r="L30" s="369">
        <f>'Budget 2023'!D48</f>
        <v>-1200</v>
      </c>
      <c r="M30" s="351"/>
      <c r="O30" s="344" t="s">
        <v>2235</v>
      </c>
      <c r="V30" s="36"/>
      <c r="Z30" s="1" t="s">
        <v>12</v>
      </c>
      <c r="AC30" s="1">
        <f>-I34</f>
        <v>4761.66</v>
      </c>
    </row>
    <row r="31" spans="1:29" ht="15.5" x14ac:dyDescent="0.35">
      <c r="A31" s="139" t="s">
        <v>301</v>
      </c>
      <c r="B31" s="151"/>
      <c r="C31" s="144">
        <v>0</v>
      </c>
      <c r="D31" s="151"/>
      <c r="E31" s="144">
        <f>'CASHFLOW 2017'!P20</f>
        <v>-247.49000000000004</v>
      </c>
      <c r="F31" s="151"/>
      <c r="G31" s="366">
        <f>'ACCOUNTS 22'!J31</f>
        <v>-543.6400000000001</v>
      </c>
      <c r="H31" s="367"/>
      <c r="I31" s="366">
        <f>'CASHFLOW 2023'!P21</f>
        <v>-407.52000000000004</v>
      </c>
      <c r="J31" s="367"/>
      <c r="K31" s="368"/>
      <c r="L31" s="369">
        <f>'Budget 2023'!D49</f>
        <v>-540</v>
      </c>
      <c r="M31" s="351"/>
      <c r="N31" s="344"/>
      <c r="V31" s="36"/>
      <c r="Z31" s="1" t="s">
        <v>7</v>
      </c>
      <c r="AC31" s="1">
        <f>-I24</f>
        <v>2371.7399999999998</v>
      </c>
    </row>
    <row r="32" spans="1:29" ht="15.5" x14ac:dyDescent="0.35">
      <c r="A32" s="151" t="s">
        <v>86</v>
      </c>
      <c r="B32" s="151"/>
      <c r="C32" s="144">
        <v>20</v>
      </c>
      <c r="D32" s="151"/>
      <c r="E32" s="144">
        <f>'CASHFLOW 2017'!P10</f>
        <v>20</v>
      </c>
      <c r="F32" s="151"/>
      <c r="G32" s="366">
        <f>'ACCOUNTS 22'!J32</f>
        <v>-100</v>
      </c>
      <c r="H32" s="367"/>
      <c r="I32" s="366">
        <f>+'CASHFLOW 2023'!P22</f>
        <v>-100</v>
      </c>
      <c r="J32" s="367"/>
      <c r="K32" s="368"/>
      <c r="L32" s="369">
        <f>'Budget 2023'!D50</f>
        <v>-100</v>
      </c>
      <c r="M32" s="351"/>
      <c r="N32" s="344"/>
      <c r="V32" s="36"/>
      <c r="Z32" s="1" t="s">
        <v>10</v>
      </c>
      <c r="AC32" s="1">
        <f>-I30</f>
        <v>2023.48</v>
      </c>
    </row>
    <row r="33" spans="1:29" ht="15.5" x14ac:dyDescent="0.35">
      <c r="A33" s="139" t="s">
        <v>11</v>
      </c>
      <c r="B33" s="151"/>
      <c r="C33" s="144">
        <v>-648.04</v>
      </c>
      <c r="D33" s="151"/>
      <c r="E33" s="144">
        <f>+'CASHFLOW 2017'!P22-(0*'CASHFLOW 2017'!O22)</f>
        <v>-984.81999999999994</v>
      </c>
      <c r="F33" s="151"/>
      <c r="G33" s="366">
        <f>'ACCOUNTS 22'!J33</f>
        <v>-612.28</v>
      </c>
      <c r="H33" s="367"/>
      <c r="I33" s="366">
        <f>'CASHFLOW 2023'!P24</f>
        <v>-599.44999999999993</v>
      </c>
      <c r="J33" s="367"/>
      <c r="K33" s="368"/>
      <c r="L33" s="369">
        <f>'Budget 2023'!D51</f>
        <v>-1000</v>
      </c>
      <c r="M33" s="351"/>
      <c r="N33" s="344"/>
      <c r="V33" s="36"/>
      <c r="Z33" s="1" t="s">
        <v>2326</v>
      </c>
      <c r="AC33" s="1">
        <f>-I39-SUM(AC28:AC32)</f>
        <v>2460.3500000000022</v>
      </c>
    </row>
    <row r="34" spans="1:29" ht="15.5" x14ac:dyDescent="0.35">
      <c r="A34" s="139" t="s">
        <v>12</v>
      </c>
      <c r="B34" s="151"/>
      <c r="C34" s="144">
        <v>-3904.12</v>
      </c>
      <c r="D34" s="151"/>
      <c r="E34" s="144">
        <f>+'CASHFLOW 2017'!P23</f>
        <v>-4302.0800000000008</v>
      </c>
      <c r="F34" s="151"/>
      <c r="G34" s="366">
        <f>'ACCOUNTS 22'!J34</f>
        <v>-5829.7700000000013</v>
      </c>
      <c r="H34" s="367"/>
      <c r="I34" s="366">
        <f>+'CASHFLOW 2023'!P25</f>
        <v>-4761.66</v>
      </c>
      <c r="J34" s="367"/>
      <c r="K34" s="368"/>
      <c r="L34" s="369">
        <f>'Budget 2023'!D56</f>
        <v>-7000</v>
      </c>
      <c r="M34" s="351"/>
      <c r="N34" s="344"/>
      <c r="V34" s="36"/>
    </row>
    <row r="35" spans="1:29" ht="15.5" x14ac:dyDescent="0.35">
      <c r="A35" s="139" t="s">
        <v>13</v>
      </c>
      <c r="B35" s="151"/>
      <c r="C35" s="144">
        <v>-541.53</v>
      </c>
      <c r="D35" s="151"/>
      <c r="E35" s="144">
        <f>+'CASHFLOW 2017'!P24</f>
        <v>-561.62</v>
      </c>
      <c r="F35" s="151"/>
      <c r="G35" s="366">
        <f>'ACCOUNTS 22'!J35</f>
        <v>-524.4</v>
      </c>
      <c r="H35" s="367"/>
      <c r="I35" s="366">
        <f>+'CASHFLOW 2023'!P26</f>
        <v>-742.58</v>
      </c>
      <c r="J35" s="367"/>
      <c r="K35" s="368"/>
      <c r="L35" s="369">
        <f>'Budget 2023'!D60</f>
        <v>-695</v>
      </c>
      <c r="M35" s="351"/>
      <c r="N35" s="344"/>
      <c r="V35" s="36"/>
    </row>
    <row r="36" spans="1:29" ht="15.5" x14ac:dyDescent="0.35">
      <c r="A36" s="139" t="s">
        <v>468</v>
      </c>
      <c r="B36" s="151"/>
      <c r="C36" s="144">
        <v>0</v>
      </c>
      <c r="D36" s="151"/>
      <c r="E36" s="144">
        <f>'CASHFLOW 2017'!P25</f>
        <v>-55</v>
      </c>
      <c r="F36" s="151"/>
      <c r="G36" s="366">
        <f>'ACCOUNTS 22'!J36</f>
        <v>-88</v>
      </c>
      <c r="H36" s="367"/>
      <c r="I36" s="366">
        <f>+'CASHFLOW 2023'!P27</f>
        <v>0</v>
      </c>
      <c r="J36" s="367"/>
      <c r="K36" s="368"/>
      <c r="L36" s="369">
        <f>'Budget 2023'!D61</f>
        <v>-150</v>
      </c>
      <c r="M36" s="351"/>
      <c r="N36" s="344"/>
      <c r="V36" s="36"/>
    </row>
    <row r="37" spans="1:29" ht="15.5" x14ac:dyDescent="0.35">
      <c r="A37" s="139" t="s">
        <v>621</v>
      </c>
      <c r="B37" s="151"/>
      <c r="C37" s="144">
        <f>-15.02-986.57</f>
        <v>-1001.59</v>
      </c>
      <c r="D37" s="151"/>
      <c r="E37" s="144">
        <f>+'CASHFLOW 2017'!P26</f>
        <v>-877.28</v>
      </c>
      <c r="F37" s="151"/>
      <c r="G37" s="366">
        <f>'ACCOUNTS 22'!J37</f>
        <v>-765.16000000000008</v>
      </c>
      <c r="H37" s="367"/>
      <c r="I37" s="366">
        <f>+'CASHFLOW 2023'!P28</f>
        <v>-610.79999999999995</v>
      </c>
      <c r="J37" s="367"/>
      <c r="K37" s="368"/>
      <c r="L37" s="369">
        <f>'Budget 2023'!D62</f>
        <v>-750</v>
      </c>
      <c r="M37" s="351"/>
      <c r="N37" s="344"/>
      <c r="V37" s="36"/>
    </row>
    <row r="38" spans="1:29" ht="15.5" x14ac:dyDescent="0.35">
      <c r="A38" s="151"/>
      <c r="B38" s="151"/>
      <c r="C38" s="154"/>
      <c r="D38" s="151"/>
      <c r="E38" s="154"/>
      <c r="F38" s="151"/>
      <c r="G38" s="376"/>
      <c r="H38" s="367"/>
      <c r="I38" s="376"/>
      <c r="J38" s="367"/>
      <c r="K38" s="368"/>
      <c r="L38" s="369"/>
      <c r="M38" s="351"/>
      <c r="N38" s="344"/>
      <c r="V38" s="36"/>
    </row>
    <row r="39" spans="1:29" ht="15.5" x14ac:dyDescent="0.35">
      <c r="A39" s="151"/>
      <c r="B39" s="151"/>
      <c r="C39" s="155">
        <f>SUM(C24:C38)</f>
        <v>-42279.09</v>
      </c>
      <c r="D39" s="151"/>
      <c r="E39" s="155">
        <f>SUM(E24:E38)</f>
        <v>-44908.31</v>
      </c>
      <c r="F39" s="151"/>
      <c r="G39" s="377">
        <f>SUM(G24:G38)</f>
        <v>-19932.320000000003</v>
      </c>
      <c r="H39" s="367"/>
      <c r="I39" s="377">
        <f>SUM(I24:I38)</f>
        <v>-13932.87</v>
      </c>
      <c r="J39" s="367"/>
      <c r="K39" s="380"/>
      <c r="L39" s="381">
        <f>SUM(L24:L37)</f>
        <v>-23035</v>
      </c>
      <c r="M39" s="351"/>
      <c r="N39" s="344"/>
      <c r="V39" s="36"/>
    </row>
    <row r="40" spans="1:29" ht="15.5" x14ac:dyDescent="0.35">
      <c r="A40" s="151"/>
      <c r="B40" s="151"/>
      <c r="C40" s="157"/>
      <c r="D40" s="151"/>
      <c r="E40" s="157"/>
      <c r="F40" s="151"/>
      <c r="G40" s="382"/>
      <c r="H40" s="367"/>
      <c r="I40" s="382"/>
      <c r="J40" s="367"/>
      <c r="K40" s="380"/>
      <c r="L40" s="369"/>
      <c r="M40" s="351"/>
      <c r="N40" s="344"/>
      <c r="V40" s="36"/>
    </row>
    <row r="41" spans="1:29" ht="16" thickBot="1" x14ac:dyDescent="0.4">
      <c r="A41" s="150" t="s">
        <v>14</v>
      </c>
      <c r="B41" s="151"/>
      <c r="C41" s="158">
        <f>C21+C39</f>
        <v>-20204.419999999998</v>
      </c>
      <c r="D41" s="151"/>
      <c r="E41" s="158">
        <f>E21+E39</f>
        <v>967.90000000000146</v>
      </c>
      <c r="F41" s="151"/>
      <c r="G41" s="383">
        <f>G21+G39</f>
        <v>5576.6399999999994</v>
      </c>
      <c r="H41" s="367"/>
      <c r="I41" s="383">
        <f>I21+I39</f>
        <v>6855.8700000000008</v>
      </c>
      <c r="J41" s="367"/>
      <c r="K41" s="380"/>
      <c r="L41" s="384">
        <f>SUM(L21+L39)</f>
        <v>5225</v>
      </c>
      <c r="M41" s="351"/>
      <c r="N41" s="344"/>
      <c r="V41" s="36"/>
    </row>
    <row r="42" spans="1:29" ht="16" thickTop="1" x14ac:dyDescent="0.35">
      <c r="A42" s="159"/>
      <c r="B42" s="159"/>
      <c r="C42" s="144"/>
      <c r="D42" s="159"/>
      <c r="E42" s="144"/>
      <c r="F42" s="159"/>
      <c r="G42" s="144"/>
      <c r="H42" s="159"/>
      <c r="I42" s="144"/>
      <c r="J42" s="159"/>
      <c r="K42" s="247"/>
      <c r="L42" s="101"/>
      <c r="M42" s="351"/>
      <c r="N42" s="344"/>
    </row>
    <row r="43" spans="1:29" ht="15.5" x14ac:dyDescent="0.35">
      <c r="A43" s="150"/>
      <c r="B43" s="151"/>
      <c r="C43" s="157"/>
      <c r="E43" s="157"/>
      <c r="F43" s="161" t="s">
        <v>2325</v>
      </c>
      <c r="G43" s="157"/>
      <c r="H43" s="161"/>
      <c r="I43" s="157"/>
      <c r="J43" s="161"/>
      <c r="K43" s="143"/>
      <c r="L43" s="101"/>
      <c r="M43" s="351"/>
      <c r="N43" s="344"/>
    </row>
    <row r="44" spans="1:29" s="13" customFormat="1" ht="15.5" x14ac:dyDescent="0.35">
      <c r="A44" s="150"/>
      <c r="B44" s="151"/>
      <c r="C44" s="157"/>
      <c r="D44" s="151"/>
      <c r="E44" s="157"/>
      <c r="F44" s="151"/>
      <c r="G44" s="157"/>
      <c r="H44" s="151"/>
      <c r="I44" s="157"/>
      <c r="J44" s="151"/>
      <c r="K44" s="143"/>
      <c r="M44" s="351"/>
      <c r="V44" s="1"/>
    </row>
    <row r="45" spans="1:29" ht="15.5" x14ac:dyDescent="0.35">
      <c r="A45" s="139"/>
      <c r="B45" s="151"/>
      <c r="C45" s="157"/>
      <c r="D45" s="151"/>
      <c r="E45" s="157"/>
      <c r="F45" s="151"/>
      <c r="G45" s="157"/>
      <c r="H45" s="151"/>
      <c r="I45" s="157"/>
      <c r="J45" s="151"/>
      <c r="K45" s="143"/>
      <c r="L45" s="101"/>
      <c r="M45" s="351"/>
      <c r="N45" s="344"/>
      <c r="V45" s="13"/>
    </row>
    <row r="46" spans="1:29" ht="15.5" x14ac:dyDescent="0.35">
      <c r="A46" s="139" t="s">
        <v>526</v>
      </c>
      <c r="B46" s="151"/>
      <c r="C46" s="157">
        <v>14779.4</v>
      </c>
      <c r="D46" s="151"/>
      <c r="E46" s="162">
        <f>'CASHFLOW 2017'!O38</f>
        <v>15873.52</v>
      </c>
      <c r="F46" s="151"/>
      <c r="G46" s="366">
        <f>'ACCOUNTS 22'!J46</f>
        <v>5786.4999999999854</v>
      </c>
      <c r="H46" s="367"/>
      <c r="I46" s="366">
        <f>+'CASHFLOW 2023'!P40</f>
        <v>7742.3699999999872</v>
      </c>
      <c r="J46" s="151"/>
      <c r="K46" s="143"/>
      <c r="L46" s="101"/>
      <c r="M46" s="344"/>
      <c r="N46" s="344"/>
    </row>
    <row r="47" spans="1:29" ht="15.5" x14ac:dyDescent="0.35">
      <c r="A47" s="139" t="s">
        <v>1334</v>
      </c>
      <c r="B47" s="151"/>
      <c r="C47" s="157"/>
      <c r="D47" s="151"/>
      <c r="E47" s="157"/>
      <c r="F47" s="151"/>
      <c r="G47" s="366">
        <f>'ACCOUNTS 22'!J47</f>
        <v>40209.039999999994</v>
      </c>
      <c r="H47" s="367"/>
      <c r="I47" s="382">
        <f>'CASHFLOW 2023'!P41+'CASHFLOW 2023'!P42</f>
        <v>45209.039999999994</v>
      </c>
      <c r="J47" s="151"/>
      <c r="K47" s="143"/>
      <c r="L47" s="101"/>
    </row>
    <row r="48" spans="1:29" ht="15.5" x14ac:dyDescent="0.35">
      <c r="A48" s="139"/>
      <c r="B48" s="151"/>
      <c r="C48" s="157"/>
      <c r="D48" s="151"/>
      <c r="E48" s="157"/>
      <c r="F48" s="151"/>
      <c r="G48" s="382"/>
      <c r="H48" s="367"/>
      <c r="I48" s="382"/>
      <c r="J48" s="151"/>
      <c r="K48" s="143"/>
      <c r="L48" s="101"/>
    </row>
    <row r="49" spans="1:12" ht="15.5" x14ac:dyDescent="0.35">
      <c r="A49" s="139"/>
      <c r="B49" s="151"/>
      <c r="C49" s="163">
        <f>SUM(C46:C47)</f>
        <v>14779.4</v>
      </c>
      <c r="D49" s="151"/>
      <c r="E49" s="163">
        <f>SUM(E46:E47)</f>
        <v>15873.52</v>
      </c>
      <c r="F49" s="151"/>
      <c r="G49" s="385">
        <f>SUM(G46:G47)</f>
        <v>45995.539999999979</v>
      </c>
      <c r="H49" s="367"/>
      <c r="I49" s="385">
        <f>SUM(I46:I47)</f>
        <v>52951.409999999982</v>
      </c>
      <c r="J49" s="151"/>
      <c r="K49" s="164"/>
      <c r="L49" s="101"/>
    </row>
    <row r="50" spans="1:12" ht="15.5" x14ac:dyDescent="0.35">
      <c r="A50" s="150" t="s">
        <v>16</v>
      </c>
      <c r="B50" s="151"/>
      <c r="C50" s="157"/>
      <c r="D50" s="151"/>
      <c r="E50" s="157"/>
      <c r="F50" s="151"/>
      <c r="G50" s="382"/>
      <c r="H50" s="367"/>
      <c r="I50" s="382"/>
      <c r="J50" s="151"/>
      <c r="K50" s="143"/>
      <c r="L50" s="101"/>
    </row>
    <row r="51" spans="1:12" ht="15.5" x14ac:dyDescent="0.35">
      <c r="A51" s="139" t="s">
        <v>17</v>
      </c>
      <c r="B51" s="151"/>
      <c r="C51" s="144">
        <v>0</v>
      </c>
      <c r="D51" s="151"/>
      <c r="E51" s="152">
        <f>-'CASHFLOW 2017'!R36</f>
        <v>-280</v>
      </c>
      <c r="F51" s="151"/>
      <c r="G51" s="366">
        <f>'ACCOUNTS 22'!J51</f>
        <v>-650</v>
      </c>
      <c r="H51" s="367"/>
      <c r="I51" s="366">
        <f>-'CASHFLOW 2023'!R38</f>
        <v>-750</v>
      </c>
      <c r="J51" s="151"/>
      <c r="K51" s="164"/>
      <c r="L51" s="247"/>
    </row>
    <row r="52" spans="1:12" ht="16" thickBot="1" x14ac:dyDescent="0.4">
      <c r="A52" s="139"/>
      <c r="B52" s="151"/>
      <c r="C52" s="158">
        <f>+C49+C51</f>
        <v>14779.4</v>
      </c>
      <c r="D52" s="151"/>
      <c r="E52" s="158">
        <f>+E49+E51</f>
        <v>15593.52</v>
      </c>
      <c r="F52" s="151"/>
      <c r="G52" s="386">
        <f>+G49+G51</f>
        <v>45345.539999999979</v>
      </c>
      <c r="H52" s="387"/>
      <c r="I52" s="386">
        <f>+I49+I51</f>
        <v>52201.409999999982</v>
      </c>
      <c r="J52" s="151"/>
      <c r="K52" s="164"/>
      <c r="L52" s="247"/>
    </row>
    <row r="53" spans="1:12" ht="16" thickTop="1" x14ac:dyDescent="0.35">
      <c r="A53" s="151" t="s">
        <v>18</v>
      </c>
      <c r="B53" s="151"/>
      <c r="C53" s="144"/>
      <c r="D53" s="151"/>
      <c r="E53" s="144"/>
      <c r="F53" s="151"/>
      <c r="G53" s="370"/>
      <c r="H53" s="367"/>
      <c r="I53" s="370"/>
      <c r="J53" s="151"/>
      <c r="K53" s="164"/>
      <c r="L53" s="247"/>
    </row>
    <row r="54" spans="1:12" ht="15.5" x14ac:dyDescent="0.35">
      <c r="A54" s="139" t="s">
        <v>19</v>
      </c>
      <c r="B54" s="151"/>
      <c r="C54" s="144">
        <v>46647.88</v>
      </c>
      <c r="D54" s="151"/>
      <c r="E54" s="144">
        <f>+C58</f>
        <v>26443.46</v>
      </c>
      <c r="F54" s="151"/>
      <c r="G54" s="366">
        <f>'ACCOUNTS 22'!J54</f>
        <v>33768.900000000009</v>
      </c>
      <c r="H54" s="367"/>
      <c r="I54" s="370">
        <f>+G58</f>
        <v>39265.540000000008</v>
      </c>
      <c r="J54" s="151"/>
      <c r="K54" s="164"/>
      <c r="L54" s="247"/>
    </row>
    <row r="55" spans="1:12" ht="15.5" x14ac:dyDescent="0.35">
      <c r="A55" s="139" t="s">
        <v>1527</v>
      </c>
      <c r="B55" s="151"/>
      <c r="C55" s="144"/>
      <c r="D55" s="151"/>
      <c r="E55" s="144"/>
      <c r="F55" s="151"/>
      <c r="G55" s="366">
        <f>'ACCOUNTS 22'!J55</f>
        <v>6000</v>
      </c>
      <c r="H55" s="367"/>
      <c r="I55" s="370">
        <f>+G59</f>
        <v>6080</v>
      </c>
      <c r="J55" s="151"/>
      <c r="K55" s="164"/>
      <c r="L55" s="247"/>
    </row>
    <row r="56" spans="1:12" ht="15.5" x14ac:dyDescent="0.35">
      <c r="A56" s="139" t="s">
        <v>73</v>
      </c>
      <c r="B56" s="151"/>
      <c r="C56" s="154">
        <f>C41</f>
        <v>-20204.419999999998</v>
      </c>
      <c r="D56" s="151"/>
      <c r="E56" s="154">
        <f>E41</f>
        <v>967.90000000000146</v>
      </c>
      <c r="F56" s="151"/>
      <c r="G56" s="366">
        <f>'ACCOUNTS 22'!J56</f>
        <v>5576.6399999999994</v>
      </c>
      <c r="H56" s="367"/>
      <c r="I56" s="382">
        <f>I41</f>
        <v>6855.8700000000008</v>
      </c>
      <c r="J56" s="151"/>
      <c r="K56" s="164"/>
      <c r="L56" s="247"/>
    </row>
    <row r="57" spans="1:12" ht="15.5" x14ac:dyDescent="0.35">
      <c r="A57" s="139" t="s">
        <v>1524</v>
      </c>
      <c r="B57" s="151"/>
      <c r="C57" s="157"/>
      <c r="D57" s="151"/>
      <c r="E57" s="157"/>
      <c r="F57" s="151"/>
      <c r="G57" s="366">
        <f>'ACCOUNTS 22'!J57</f>
        <v>-80</v>
      </c>
      <c r="H57" s="367"/>
      <c r="I57" s="382">
        <f>-I12</f>
        <v>-100</v>
      </c>
      <c r="J57" s="151"/>
      <c r="K57" s="164"/>
      <c r="L57" s="247"/>
    </row>
    <row r="58" spans="1:12" ht="16" thickBot="1" x14ac:dyDescent="0.4">
      <c r="A58" s="139" t="s">
        <v>1525</v>
      </c>
      <c r="B58" s="151"/>
      <c r="C58" s="158">
        <f>+C56+C54</f>
        <v>26443.46</v>
      </c>
      <c r="D58" s="151"/>
      <c r="E58" s="158">
        <f>+E56+E54</f>
        <v>27411.360000000001</v>
      </c>
      <c r="F58" s="151"/>
      <c r="G58" s="388">
        <f>G54+G56+G57</f>
        <v>39265.540000000008</v>
      </c>
      <c r="H58" s="389"/>
      <c r="I58" s="385">
        <f>+I56+I54+I57</f>
        <v>46021.410000000011</v>
      </c>
      <c r="J58" s="151"/>
      <c r="K58" s="164"/>
      <c r="L58" s="247"/>
    </row>
    <row r="59" spans="1:12" ht="16" thickTop="1" x14ac:dyDescent="0.35">
      <c r="A59" s="143" t="s">
        <v>1526</v>
      </c>
      <c r="B59" s="143"/>
      <c r="C59" s="165"/>
      <c r="D59" s="143"/>
      <c r="E59" s="165"/>
      <c r="F59" s="143"/>
      <c r="G59" s="366">
        <f>'ACCOUNTS 22'!J59</f>
        <v>6080</v>
      </c>
      <c r="H59" s="379"/>
      <c r="I59" s="390">
        <f>+I55-I57</f>
        <v>6180</v>
      </c>
      <c r="J59" s="143"/>
      <c r="K59" s="160"/>
      <c r="L59" s="247"/>
    </row>
    <row r="60" spans="1:12" ht="16" thickBot="1" x14ac:dyDescent="0.4">
      <c r="A60" s="143" t="s">
        <v>1556</v>
      </c>
      <c r="B60" s="143"/>
      <c r="C60" s="165"/>
      <c r="D60" s="143"/>
      <c r="E60" s="165"/>
      <c r="F60" s="143"/>
      <c r="G60" s="391">
        <f>+G58+G59</f>
        <v>45345.540000000008</v>
      </c>
      <c r="H60" s="392"/>
      <c r="I60" s="391">
        <f>+I58+I59</f>
        <v>52201.410000000011</v>
      </c>
      <c r="J60" s="143"/>
      <c r="K60" s="160"/>
      <c r="L60" s="247"/>
    </row>
    <row r="61" spans="1:12" ht="16" thickTop="1" x14ac:dyDescent="0.35">
      <c r="A61" s="143"/>
      <c r="B61" s="143"/>
      <c r="C61" s="165"/>
      <c r="D61" s="143"/>
      <c r="E61" s="165"/>
      <c r="F61" s="143"/>
      <c r="G61" s="322"/>
      <c r="H61" s="143"/>
      <c r="I61" s="322"/>
      <c r="J61" s="143"/>
      <c r="K61" s="160"/>
      <c r="L61" s="247"/>
    </row>
    <row r="62" spans="1:12" ht="15.5" x14ac:dyDescent="0.35">
      <c r="A62" s="144" t="s">
        <v>154</v>
      </c>
      <c r="B62" s="151"/>
      <c r="C62" s="143"/>
      <c r="D62" s="151"/>
      <c r="E62" s="143"/>
      <c r="F62" s="151"/>
      <c r="G62" s="144"/>
      <c r="H62" s="151"/>
      <c r="I62" s="144"/>
      <c r="J62" s="151"/>
      <c r="K62" s="145"/>
      <c r="L62" s="143"/>
    </row>
    <row r="63" spans="1:12" ht="15.5" x14ac:dyDescent="0.35">
      <c r="A63" s="144"/>
      <c r="B63" s="151"/>
      <c r="C63" s="143"/>
      <c r="D63" s="151"/>
      <c r="E63" s="143"/>
      <c r="F63" s="151"/>
      <c r="G63" s="144"/>
      <c r="H63" s="151"/>
      <c r="I63" s="144"/>
      <c r="J63" s="151"/>
      <c r="K63" s="145"/>
      <c r="L63" s="143"/>
    </row>
    <row r="64" spans="1:12" ht="15.5" x14ac:dyDescent="0.35">
      <c r="A64" s="144" t="s">
        <v>2186</v>
      </c>
      <c r="B64" s="151"/>
      <c r="C64" s="143"/>
      <c r="D64" s="151"/>
      <c r="E64" s="143"/>
      <c r="F64" s="151"/>
      <c r="G64" s="144"/>
      <c r="H64" s="151"/>
      <c r="I64" s="144"/>
      <c r="J64" s="151"/>
      <c r="K64" s="145"/>
      <c r="L64" s="166"/>
    </row>
    <row r="65" spans="1:12" ht="15.5" x14ac:dyDescent="0.35">
      <c r="A65" s="144"/>
      <c r="B65" s="151"/>
      <c r="C65" s="144"/>
      <c r="D65" s="151"/>
      <c r="E65" s="143"/>
      <c r="F65" s="151"/>
      <c r="G65" s="144"/>
      <c r="H65" s="151"/>
      <c r="I65" s="144"/>
      <c r="J65" s="151"/>
      <c r="K65" s="145"/>
      <c r="L65" s="143"/>
    </row>
    <row r="66" spans="1:12" ht="15.5" x14ac:dyDescent="0.35">
      <c r="A66" s="157" t="s">
        <v>2004</v>
      </c>
      <c r="B66" s="151"/>
      <c r="C66" s="144"/>
      <c r="D66" s="167"/>
      <c r="E66" s="143"/>
      <c r="F66" s="167"/>
      <c r="G66" s="144"/>
      <c r="H66" s="167"/>
      <c r="I66" s="144"/>
      <c r="J66" s="167"/>
      <c r="K66" s="145"/>
      <c r="L66" s="143"/>
    </row>
    <row r="67" spans="1:12" ht="15.5" x14ac:dyDescent="0.35">
      <c r="A67" s="151"/>
      <c r="B67" s="143"/>
      <c r="C67" s="143"/>
      <c r="D67" s="143"/>
      <c r="E67" s="143"/>
      <c r="F67" s="143"/>
      <c r="G67" s="151"/>
      <c r="H67" s="143"/>
      <c r="I67" s="151"/>
      <c r="J67" s="143"/>
      <c r="K67" s="157"/>
      <c r="L67" s="143"/>
    </row>
    <row r="68" spans="1:12" ht="13" x14ac:dyDescent="0.3">
      <c r="A68" s="100"/>
      <c r="B68" s="8"/>
      <c r="D68" s="8"/>
      <c r="F68" s="8"/>
      <c r="G68" s="100"/>
      <c r="H68" s="8"/>
      <c r="I68" s="100"/>
      <c r="J68" s="8"/>
      <c r="K68" s="21"/>
    </row>
    <row r="69" spans="1:12" ht="15.5" x14ac:dyDescent="0.35">
      <c r="A69" s="157" t="s">
        <v>20</v>
      </c>
      <c r="B69" s="8"/>
      <c r="D69" s="8"/>
      <c r="F69" s="8"/>
      <c r="G69" s="100"/>
      <c r="H69" s="8"/>
      <c r="I69" s="100"/>
      <c r="J69" s="8"/>
      <c r="K69" s="21"/>
    </row>
    <row r="70" spans="1:12" ht="15.5" x14ac:dyDescent="0.35">
      <c r="A70" s="157" t="s">
        <v>21</v>
      </c>
      <c r="B70" s="8"/>
      <c r="G70" s="100"/>
      <c r="I70" s="100"/>
      <c r="K70" s="21"/>
    </row>
    <row r="71" spans="1:12" ht="15.5" x14ac:dyDescent="0.35">
      <c r="A71" s="144"/>
      <c r="B71" s="8"/>
      <c r="D71" s="8"/>
      <c r="F71" s="8"/>
      <c r="G71" s="100"/>
      <c r="H71" s="8"/>
      <c r="I71" s="100"/>
      <c r="J71" s="8"/>
      <c r="K71" s="21"/>
    </row>
    <row r="72" spans="1:12" ht="15.5" x14ac:dyDescent="0.35">
      <c r="A72" s="144"/>
      <c r="B72" s="8"/>
      <c r="D72" s="8"/>
      <c r="F72" s="8"/>
      <c r="G72" s="100"/>
      <c r="H72" s="8"/>
      <c r="I72" s="100"/>
      <c r="J72" s="8"/>
      <c r="K72" s="21"/>
    </row>
    <row r="73" spans="1:12" ht="15.5" x14ac:dyDescent="0.35">
      <c r="A73" s="157" t="s">
        <v>22</v>
      </c>
      <c r="B73" s="8"/>
      <c r="D73" s="8"/>
      <c r="F73" s="8"/>
      <c r="G73" s="100"/>
      <c r="H73" s="8"/>
      <c r="I73" s="100"/>
      <c r="J73" s="8"/>
      <c r="K73" s="21"/>
    </row>
    <row r="74" spans="1:12" ht="15.5" x14ac:dyDescent="0.35">
      <c r="A74" s="151"/>
      <c r="G74" s="8"/>
      <c r="I74" s="8"/>
      <c r="K74" s="104"/>
    </row>
    <row r="75" spans="1:12" ht="15.5" x14ac:dyDescent="0.35">
      <c r="A75" s="165" t="s">
        <v>23</v>
      </c>
      <c r="B75" s="8"/>
      <c r="D75" s="8"/>
      <c r="F75" s="8"/>
      <c r="G75" s="101"/>
      <c r="H75" s="8"/>
      <c r="I75" s="101"/>
      <c r="J75" s="8"/>
      <c r="K75" s="21"/>
    </row>
    <row r="76" spans="1:12" ht="13" x14ac:dyDescent="0.3">
      <c r="A76" s="8"/>
      <c r="B76" s="8"/>
      <c r="E76" s="101"/>
      <c r="G76" s="101"/>
      <c r="I76" s="101"/>
      <c r="K76" s="21"/>
    </row>
    <row r="77" spans="1:12" x14ac:dyDescent="0.25">
      <c r="A77" s="1"/>
      <c r="C77" s="101"/>
      <c r="E77" s="101"/>
      <c r="G77" s="101"/>
      <c r="I77" s="101"/>
      <c r="K77" s="21"/>
    </row>
    <row r="78" spans="1:12" x14ac:dyDescent="0.25">
      <c r="A78" s="1"/>
      <c r="C78" s="101"/>
      <c r="E78" s="101"/>
      <c r="G78" s="101"/>
      <c r="I78" s="101"/>
      <c r="K78" s="21"/>
    </row>
    <row r="79" spans="1:12" x14ac:dyDescent="0.25">
      <c r="A79" s="1"/>
      <c r="C79" s="101"/>
      <c r="E79" s="101"/>
      <c r="G79" s="101"/>
      <c r="I79" s="101"/>
      <c r="K79" s="21"/>
    </row>
    <row r="80" spans="1:12" x14ac:dyDescent="0.25">
      <c r="A80" s="1"/>
      <c r="C80" s="101"/>
      <c r="E80" s="101"/>
      <c r="G80" s="101"/>
      <c r="I80" s="101"/>
      <c r="K80" s="21"/>
    </row>
    <row r="81" spans="1:11" x14ac:dyDescent="0.25">
      <c r="A81" s="1"/>
      <c r="C81" s="101"/>
      <c r="E81" s="101"/>
      <c r="G81" s="101"/>
      <c r="I81" s="101"/>
      <c r="K81" s="21"/>
    </row>
    <row r="82" spans="1:11" x14ac:dyDescent="0.25">
      <c r="A82" s="1"/>
      <c r="C82" s="101"/>
      <c r="E82" s="101"/>
      <c r="G82" s="101"/>
      <c r="I82" s="101"/>
      <c r="K82" s="21"/>
    </row>
    <row r="83" spans="1:11" x14ac:dyDescent="0.25">
      <c r="A83" s="1"/>
      <c r="C83" s="101"/>
      <c r="E83" s="101"/>
      <c r="G83" s="101"/>
      <c r="I83" s="101"/>
      <c r="K83" s="21"/>
    </row>
    <row r="84" spans="1:11" x14ac:dyDescent="0.25">
      <c r="A84" s="1"/>
      <c r="C84" s="101"/>
      <c r="E84" s="101"/>
      <c r="G84" s="101"/>
      <c r="I84" s="101"/>
      <c r="K84" s="21"/>
    </row>
    <row r="85" spans="1:11" x14ac:dyDescent="0.25">
      <c r="A85" s="1"/>
      <c r="C85" s="101"/>
      <c r="E85" s="101"/>
      <c r="G85" s="101"/>
      <c r="I85" s="101"/>
      <c r="K85" s="21"/>
    </row>
  </sheetData>
  <pageMargins left="0.98" right="0" top="0.39000000000000007" bottom="0" header="0" footer="0"/>
  <pageSetup paperSize="9" scale="6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53"/>
  <sheetViews>
    <sheetView workbookViewId="0">
      <pane xSplit="2" ySplit="1" topLeftCell="C3" activePane="bottomRight" state="frozen"/>
      <selection activeCell="B37" sqref="B37"/>
      <selection pane="topRight" activeCell="B37" sqref="B37"/>
      <selection pane="bottomLeft" activeCell="B37" sqref="B37"/>
      <selection pane="bottomRight" activeCell="C40" sqref="C40"/>
    </sheetView>
  </sheetViews>
  <sheetFormatPr defaultColWidth="8.7265625" defaultRowHeight="13" x14ac:dyDescent="0.35"/>
  <cols>
    <col min="1" max="1" width="30.453125" style="9" bestFit="1" customWidth="1"/>
    <col min="2" max="2" width="9.453125" style="9" customWidth="1"/>
    <col min="3" max="4" width="11.1796875" style="9" bestFit="1" customWidth="1"/>
    <col min="5" max="6" width="10.81640625" style="9" bestFit="1" customWidth="1"/>
    <col min="7" max="7" width="11.1796875" style="9" bestFit="1" customWidth="1"/>
    <col min="8" max="8" width="11.453125" style="9" bestFit="1" customWidth="1"/>
    <col min="9" max="10" width="11.1796875" style="9" bestFit="1" customWidth="1"/>
    <col min="11" max="11" width="10.36328125" style="9" bestFit="1" customWidth="1"/>
    <col min="12" max="12" width="10.54296875" style="9" bestFit="1" customWidth="1"/>
    <col min="13" max="13" width="10.36328125" style="9" bestFit="1" customWidth="1"/>
    <col min="14" max="15" width="10.54296875" style="9" bestFit="1" customWidth="1"/>
    <col min="16" max="16" width="11.453125" style="9" bestFit="1" customWidth="1"/>
    <col min="17" max="17" width="11.08984375" style="14" bestFit="1" customWidth="1"/>
    <col min="18" max="16384" width="8.7265625" style="9"/>
  </cols>
  <sheetData>
    <row r="1" spans="1:17" s="10" customFormat="1" x14ac:dyDescent="0.35">
      <c r="C1" s="66" t="s">
        <v>24</v>
      </c>
      <c r="D1" s="66" t="s">
        <v>25</v>
      </c>
      <c r="E1" s="66" t="s">
        <v>26</v>
      </c>
      <c r="F1" s="66" t="s">
        <v>27</v>
      </c>
      <c r="G1" s="66" t="s">
        <v>516</v>
      </c>
      <c r="H1" s="66" t="s">
        <v>28</v>
      </c>
      <c r="I1" s="66" t="s">
        <v>520</v>
      </c>
      <c r="J1" s="66" t="s">
        <v>521</v>
      </c>
      <c r="K1" s="66" t="s">
        <v>29</v>
      </c>
      <c r="L1" s="66" t="s">
        <v>30</v>
      </c>
      <c r="M1" s="66" t="s">
        <v>31</v>
      </c>
      <c r="N1" s="66" t="s">
        <v>32</v>
      </c>
      <c r="O1" s="66" t="s">
        <v>33</v>
      </c>
      <c r="P1" s="66" t="s">
        <v>34</v>
      </c>
      <c r="Q1" s="67" t="s">
        <v>35</v>
      </c>
    </row>
    <row r="2" spans="1:17" x14ac:dyDescent="0.3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/>
    </row>
    <row r="3" spans="1:17" x14ac:dyDescent="0.35">
      <c r="A3" s="9" t="s">
        <v>36</v>
      </c>
      <c r="C3" s="68"/>
      <c r="D3" s="71">
        <f>SUMIFS('CASH BOOK 2017'!$K:$K,'CASH BOOK 2017'!$B:$B,'CASHFLOW 2017'!D$1,'CASH BOOK 2017'!$D:$D,'CASHFLOW 2017'!$A3)</f>
        <v>7468.4000000000005</v>
      </c>
      <c r="E3" s="71">
        <f>SUMIFS('CASH BOOK 2017'!$K:$K,'CASH BOOK 2017'!$B:$B,'CASHFLOW 2017'!E$1,'CASH BOOK 2017'!$D:$D,'CASHFLOW 2017'!$A3)</f>
        <v>1289.03</v>
      </c>
      <c r="F3" s="71">
        <f>SUMIFS('CASH BOOK 2017'!$K:$K,'CASH BOOK 2017'!$B:$B,'CASHFLOW 2017'!F$1,'CASH BOOK 2017'!$D:$D,'CASHFLOW 2017'!$A3)</f>
        <v>171.5</v>
      </c>
      <c r="G3" s="71">
        <f>SUMIFS('CASH BOOK 2017'!$K:$K,'CASH BOOK 2017'!$B:$B,'CASHFLOW 2017'!G$1,'CASH BOOK 2017'!$D:$D,'CASHFLOW 2017'!$A3)</f>
        <v>3703.3</v>
      </c>
      <c r="H3" s="71">
        <f>SUMIFS('CASH BOOK 2017'!$K:$K,'CASH BOOK 2017'!$B:$B,'CASHFLOW 2017'!H$1,'CASH BOOK 2017'!$D:$D,'CASHFLOW 2017'!$A3)</f>
        <v>233</v>
      </c>
      <c r="I3" s="71">
        <f>SUMIFS('CASH BOOK 2017'!$K:$K,'CASH BOOK 2017'!$B:$B,'CASHFLOW 2017'!I$1,'CASH BOOK 2017'!$D:$D,'CASHFLOW 2017'!$A3)</f>
        <v>0</v>
      </c>
      <c r="J3" s="71">
        <f>SUMIFS('CASH BOOK 2017'!$K:$K,'CASH BOOK 2017'!$B:$B,'CASHFLOW 2017'!J$1,'CASH BOOK 2017'!$D:$D,'CASHFLOW 2017'!$A3)</f>
        <v>187</v>
      </c>
      <c r="K3" s="71">
        <f>SUMIFS('CASH BOOK 2017'!$K:$K,'CASH BOOK 2017'!$B:$B,'CASHFLOW 2017'!K$1,'CASH BOOK 2017'!$D:$D,'CASHFLOW 2017'!$A3)</f>
        <v>365.4</v>
      </c>
      <c r="L3" s="71">
        <f>SUMIFS('CASH BOOK 2017'!$K:$K,'CASH BOOK 2017'!$B:$B,'CASHFLOW 2017'!L$1,'CASH BOOK 2017'!$D:$D,'CASHFLOW 2017'!$A3)</f>
        <v>4049.1000000000004</v>
      </c>
      <c r="M3" s="71">
        <f>SUMIFS('CASH BOOK 2017'!$K:$K,'CASH BOOK 2017'!$B:$B,'CASHFLOW 2017'!M$1,'CASH BOOK 2017'!$D:$D,'CASHFLOW 2017'!$A3)</f>
        <v>261.8</v>
      </c>
      <c r="N3" s="71">
        <f>SUMIFS('CASH BOOK 2017'!$K:$K,'CASH BOOK 2017'!$B:$B,'CASHFLOW 2017'!N$1,'CASH BOOK 2017'!$D:$D,'CASHFLOW 2017'!$A3)</f>
        <v>170</v>
      </c>
      <c r="O3" s="71">
        <f>SUMIFS('CASH BOOK 2017'!$K:$K,'CASH BOOK 2017'!$B:$B,'CASHFLOW 2017'!O$1,'CASH BOOK 2017'!$D:$D,'CASHFLOW 2017'!$A3)</f>
        <v>0</v>
      </c>
      <c r="P3" s="92">
        <f t="shared" ref="P3:P11" si="0">SUM(D3:O3)</f>
        <v>17898.53</v>
      </c>
      <c r="Q3" s="70">
        <v>11300</v>
      </c>
    </row>
    <row r="4" spans="1:17" x14ac:dyDescent="0.35">
      <c r="A4" s="9" t="s">
        <v>37</v>
      </c>
      <c r="C4" s="68"/>
      <c r="D4" s="71">
        <f>SUMIFS('CASH BOOK 2017'!$K:$K,'CASH BOOK 2017'!$B:$B,'CASHFLOW 2017'!D$1,'CASH BOOK 2017'!$D:$D,'CASHFLOW 2017'!$A4)</f>
        <v>442.5</v>
      </c>
      <c r="E4" s="71">
        <f>SUMIFS('CASH BOOK 2017'!$K:$K,'CASH BOOK 2017'!$B:$B,'CASHFLOW 2017'!E$1,'CASH BOOK 2017'!$D:$D,'CASHFLOW 2017'!$A4)</f>
        <v>370</v>
      </c>
      <c r="F4" s="71">
        <f>SUMIFS('CASH BOOK 2017'!$K:$K,'CASH BOOK 2017'!$B:$B,'CASHFLOW 2017'!F$1,'CASH BOOK 2017'!$D:$D,'CASHFLOW 2017'!$A4)</f>
        <v>176.5</v>
      </c>
      <c r="G4" s="71">
        <f>SUMIFS('CASH BOOK 2017'!$K:$K,'CASH BOOK 2017'!$B:$B,'CASHFLOW 2017'!G$1,'CASH BOOK 2017'!$D:$D,'CASHFLOW 2017'!$A4)</f>
        <v>111</v>
      </c>
      <c r="H4" s="71">
        <f>SUMIFS('CASH BOOK 2017'!$K:$K,'CASH BOOK 2017'!$B:$B,'CASHFLOW 2017'!H$1,'CASH BOOK 2017'!$D:$D,'CASHFLOW 2017'!$A4)</f>
        <v>847.5</v>
      </c>
      <c r="I4" s="71">
        <f>SUMIFS('CASH BOOK 2017'!$K:$K,'CASH BOOK 2017'!$B:$B,'CASHFLOW 2017'!I$1,'CASH BOOK 2017'!$D:$D,'CASHFLOW 2017'!$A4)</f>
        <v>861.5</v>
      </c>
      <c r="J4" s="71">
        <f>SUMIFS('CASH BOOK 2017'!$K:$K,'CASH BOOK 2017'!$B:$B,'CASHFLOW 2017'!J$1,'CASH BOOK 2017'!$D:$D,'CASHFLOW 2017'!$A4)</f>
        <v>204.5</v>
      </c>
      <c r="K4" s="71">
        <f>SUMIFS('CASH BOOK 2017'!$K:$K,'CASH BOOK 2017'!$B:$B,'CASHFLOW 2017'!K$1,'CASH BOOK 2017'!$D:$D,'CASHFLOW 2017'!$A4)</f>
        <v>650.5</v>
      </c>
      <c r="L4" s="71">
        <f>SUMIFS('CASH BOOK 2017'!$K:$K,'CASH BOOK 2017'!$B:$B,'CASHFLOW 2017'!L$1,'CASH BOOK 2017'!$D:$D,'CASHFLOW 2017'!$A4)</f>
        <v>617</v>
      </c>
      <c r="M4" s="71">
        <f>SUMIFS('CASH BOOK 2017'!$K:$K,'CASH BOOK 2017'!$B:$B,'CASHFLOW 2017'!M$1,'CASH BOOK 2017'!$D:$D,'CASHFLOW 2017'!$A4)</f>
        <v>507</v>
      </c>
      <c r="N4" s="71">
        <f>SUMIFS('CASH BOOK 2017'!$K:$K,'CASH BOOK 2017'!$B:$B,'CASHFLOW 2017'!N$1,'CASH BOOK 2017'!$D:$D,'CASHFLOW 2017'!$A4)</f>
        <v>219.9</v>
      </c>
      <c r="O4" s="71">
        <f>SUMIFS('CASH BOOK 2017'!$K:$K,'CASH BOOK 2017'!$B:$B,'CASHFLOW 2017'!O$1,'CASH BOOK 2017'!$D:$D,'CASHFLOW 2017'!$A4)</f>
        <v>349</v>
      </c>
      <c r="P4" s="69">
        <f t="shared" si="0"/>
        <v>5356.9</v>
      </c>
      <c r="Q4" s="70">
        <v>5000</v>
      </c>
    </row>
    <row r="5" spans="1:17" x14ac:dyDescent="0.35">
      <c r="A5" s="9" t="s">
        <v>622</v>
      </c>
      <c r="C5" s="68"/>
      <c r="D5" s="71">
        <f>SUMIFS('CASH BOOK 2017'!$K:$K,'CASH BOOK 2017'!$B:$B,'CASHFLOW 2017'!D$1,'CASH BOOK 2017'!$D:$D,'CASHFLOW 2017'!$A5)</f>
        <v>105</v>
      </c>
      <c r="E5" s="71">
        <f>SUMIFS('CASH BOOK 2017'!$K:$K,'CASH BOOK 2017'!$B:$B,'CASHFLOW 2017'!E$1,'CASH BOOK 2017'!$D:$D,'CASHFLOW 2017'!$A5)</f>
        <v>0</v>
      </c>
      <c r="F5" s="71">
        <f>SUMIFS('CASH BOOK 2017'!$K:$K,'CASH BOOK 2017'!$B:$B,'CASHFLOW 2017'!F$1,'CASH BOOK 2017'!$D:$D,'CASHFLOW 2017'!$A5)</f>
        <v>0</v>
      </c>
      <c r="G5" s="71">
        <f>SUMIFS('CASH BOOK 2017'!$K:$K,'CASH BOOK 2017'!$B:$B,'CASHFLOW 2017'!G$1,'CASH BOOK 2017'!$D:$D,'CASHFLOW 2017'!$A5)</f>
        <v>0</v>
      </c>
      <c r="H5" s="71">
        <f>SUMIFS('CASH BOOK 2017'!$K:$K,'CASH BOOK 2017'!$B:$B,'CASHFLOW 2017'!H$1,'CASH BOOK 2017'!$D:$D,'CASHFLOW 2017'!$A5)</f>
        <v>0</v>
      </c>
      <c r="I5" s="71">
        <f>SUMIFS('CASH BOOK 2017'!$K:$K,'CASH BOOK 2017'!$B:$B,'CASHFLOW 2017'!I$1,'CASH BOOK 2017'!$D:$D,'CASHFLOW 2017'!$A5)</f>
        <v>0</v>
      </c>
      <c r="J5" s="71">
        <f>SUMIFS('CASH BOOK 2017'!$K:$K,'CASH BOOK 2017'!$B:$B,'CASHFLOW 2017'!J$1,'CASH BOOK 2017'!$D:$D,'CASHFLOW 2017'!$A5)</f>
        <v>0</v>
      </c>
      <c r="K5" s="71">
        <f>SUMIFS('CASH BOOK 2017'!$K:$K,'CASH BOOK 2017'!$B:$B,'CASHFLOW 2017'!K$1,'CASH BOOK 2017'!$D:$D,'CASHFLOW 2017'!$A5)</f>
        <v>0</v>
      </c>
      <c r="L5" s="71">
        <f>SUMIFS('CASH BOOK 2017'!$K:$K,'CASH BOOK 2017'!$B:$B,'CASHFLOW 2017'!L$1,'CASH BOOK 2017'!$D:$D,'CASHFLOW 2017'!$A5)</f>
        <v>0</v>
      </c>
      <c r="M5" s="71">
        <f>SUMIFS('CASH BOOK 2017'!$K:$K,'CASH BOOK 2017'!$B:$B,'CASHFLOW 2017'!M$1,'CASH BOOK 2017'!$D:$D,'CASHFLOW 2017'!$A5)</f>
        <v>0</v>
      </c>
      <c r="N5" s="71">
        <f>SUMIFS('CASH BOOK 2017'!$K:$K,'CASH BOOK 2017'!$B:$B,'CASHFLOW 2017'!N$1,'CASH BOOK 2017'!$D:$D,'CASHFLOW 2017'!$A5)</f>
        <v>0</v>
      </c>
      <c r="O5" s="71">
        <f>SUMIFS('CASH BOOK 2017'!$K:$K,'CASH BOOK 2017'!$B:$B,'CASHFLOW 2017'!O$1,'CASH BOOK 2017'!$D:$D,'CASHFLOW 2017'!$A5)</f>
        <v>0</v>
      </c>
      <c r="P5" s="69">
        <f t="shared" si="0"/>
        <v>105</v>
      </c>
      <c r="Q5" s="70">
        <v>3098</v>
      </c>
    </row>
    <row r="6" spans="1:17" ht="13.5" x14ac:dyDescent="0.35">
      <c r="A6" s="7" t="s">
        <v>317</v>
      </c>
      <c r="C6" s="68"/>
      <c r="D6" s="71">
        <f>SUMIFS('CASH BOOK 2017'!$K:$K,'CASH BOOK 2017'!$B:$B,'CASHFLOW 2017'!D$1,'CASH BOOK 2017'!$D:$D,'CASHFLOW 2017'!$A6)</f>
        <v>0</v>
      </c>
      <c r="E6" s="71">
        <f>SUMIFS('CASH BOOK 2017'!$K:$K,'CASH BOOK 2017'!$B:$B,'CASHFLOW 2017'!E$1,'CASH BOOK 2017'!$D:$D,'CASHFLOW 2017'!$A6)</f>
        <v>0</v>
      </c>
      <c r="F6" s="71">
        <f>SUMIFS('CASH BOOK 2017'!$K:$K,'CASH BOOK 2017'!$B:$B,'CASHFLOW 2017'!F$1,'CASH BOOK 2017'!$D:$D,'CASHFLOW 2017'!$A6)</f>
        <v>0</v>
      </c>
      <c r="G6" s="71">
        <f>SUMIFS('CASH BOOK 2017'!$K:$K,'CASH BOOK 2017'!$B:$B,'CASHFLOW 2017'!G$1,'CASH BOOK 2017'!$D:$D,'CASHFLOW 2017'!$A6)</f>
        <v>0</v>
      </c>
      <c r="H6" s="71">
        <f>SUMIFS('CASH BOOK 2017'!$K:$K,'CASH BOOK 2017'!$B:$B,'CASHFLOW 2017'!H$1,'CASH BOOK 2017'!$D:$D,'CASHFLOW 2017'!$A6)</f>
        <v>0</v>
      </c>
      <c r="I6" s="71">
        <f>SUMIFS('CASH BOOK 2017'!$K:$K,'CASH BOOK 2017'!$B:$B,'CASHFLOW 2017'!I$1,'CASH BOOK 2017'!$D:$D,'CASHFLOW 2017'!$A6)</f>
        <v>0</v>
      </c>
      <c r="J6" s="71">
        <f>SUMIFS('CASH BOOK 2017'!$K:$K,'CASH BOOK 2017'!$B:$B,'CASHFLOW 2017'!J$1,'CASH BOOK 2017'!$D:$D,'CASHFLOW 2017'!$A6)</f>
        <v>0</v>
      </c>
      <c r="K6" s="71">
        <f>SUMIFS('CASH BOOK 2017'!$K:$K,'CASH BOOK 2017'!$B:$B,'CASHFLOW 2017'!K$1,'CASH BOOK 2017'!$D:$D,'CASHFLOW 2017'!$A6)</f>
        <v>0</v>
      </c>
      <c r="L6" s="71">
        <f>SUMIFS('CASH BOOK 2017'!$K:$K,'CASH BOOK 2017'!$B:$B,'CASHFLOW 2017'!L$1,'CASH BOOK 2017'!$D:$D,'CASHFLOW 2017'!$A6)</f>
        <v>0</v>
      </c>
      <c r="M6" s="71">
        <f>SUMIFS('CASH BOOK 2017'!$K:$K,'CASH BOOK 2017'!$B:$B,'CASHFLOW 2017'!M$1,'CASH BOOK 2017'!$D:$D,'CASHFLOW 2017'!$A6)</f>
        <v>13221.12</v>
      </c>
      <c r="N6" s="71">
        <f>SUMIFS('CASH BOOK 2017'!$K:$K,'CASH BOOK 2017'!$B:$B,'CASHFLOW 2017'!N$1,'CASH BOOK 2017'!$D:$D,'CASHFLOW 2017'!$A6)</f>
        <v>0</v>
      </c>
      <c r="O6" s="71">
        <f>SUMIFS('CASH BOOK 2017'!$K:$K,'CASH BOOK 2017'!$B:$B,'CASHFLOW 2017'!O$1,'CASH BOOK 2017'!$D:$D,'CASHFLOW 2017'!$A6)</f>
        <v>0</v>
      </c>
      <c r="P6" s="69">
        <f t="shared" si="0"/>
        <v>13221.12</v>
      </c>
      <c r="Q6" s="70"/>
    </row>
    <row r="7" spans="1:17" ht="13.5" x14ac:dyDescent="0.35">
      <c r="A7" s="7" t="s">
        <v>318</v>
      </c>
      <c r="C7" s="68"/>
      <c r="D7" s="71">
        <f>SUMIFS('CASH BOOK 2017'!$K:$K,'CASH BOOK 2017'!$B:$B,'CASHFLOW 2017'!D$1,'CASH BOOK 2017'!$D:$D,'CASHFLOW 2017'!$A7)</f>
        <v>0</v>
      </c>
      <c r="E7" s="71">
        <f>SUMIFS('CASH BOOK 2017'!$K:$K,'CASH BOOK 2017'!$B:$B,'CASHFLOW 2017'!E$1,'CASH BOOK 2017'!$D:$D,'CASHFLOW 2017'!$A7)</f>
        <v>0</v>
      </c>
      <c r="F7" s="71">
        <f>SUMIFS('CASH BOOK 2017'!$K:$K,'CASH BOOK 2017'!$B:$B,'CASHFLOW 2017'!F$1,'CASH BOOK 2017'!$D:$D,'CASHFLOW 2017'!$A7)</f>
        <v>0</v>
      </c>
      <c r="G7" s="71">
        <f>SUMIFS('CASH BOOK 2017'!$K:$K,'CASH BOOK 2017'!$B:$B,'CASHFLOW 2017'!G$1,'CASH BOOK 2017'!$D:$D,'CASHFLOW 2017'!$A7)</f>
        <v>0</v>
      </c>
      <c r="H7" s="71">
        <f>SUMIFS('CASH BOOK 2017'!$K:$K,'CASH BOOK 2017'!$B:$B,'CASHFLOW 2017'!H$1,'CASH BOOK 2017'!$D:$D,'CASHFLOW 2017'!$A7)</f>
        <v>8580</v>
      </c>
      <c r="I7" s="71">
        <f>SUMIFS('CASH BOOK 2017'!$K:$K,'CASH BOOK 2017'!$B:$B,'CASHFLOW 2017'!I$1,'CASH BOOK 2017'!$D:$D,'CASHFLOW 2017'!$A7)</f>
        <v>0</v>
      </c>
      <c r="J7" s="71">
        <f>SUMIFS('CASH BOOK 2017'!$K:$K,'CASH BOOK 2017'!$B:$B,'CASHFLOW 2017'!J$1,'CASH BOOK 2017'!$D:$D,'CASHFLOW 2017'!$A7)</f>
        <v>0</v>
      </c>
      <c r="K7" s="71">
        <f>SUMIFS('CASH BOOK 2017'!$K:$K,'CASH BOOK 2017'!$B:$B,'CASHFLOW 2017'!K$1,'CASH BOOK 2017'!$D:$D,'CASHFLOW 2017'!$A7)</f>
        <v>0</v>
      </c>
      <c r="L7" s="71">
        <f>SUMIFS('CASH BOOK 2017'!$K:$K,'CASH BOOK 2017'!$B:$B,'CASHFLOW 2017'!L$1,'CASH BOOK 2017'!$D:$D,'CASHFLOW 2017'!$A7)</f>
        <v>0</v>
      </c>
      <c r="M7" s="71">
        <f>SUMIFS('CASH BOOK 2017'!$K:$K,'CASH BOOK 2017'!$B:$B,'CASHFLOW 2017'!M$1,'CASH BOOK 2017'!$D:$D,'CASHFLOW 2017'!$A7)</f>
        <v>0</v>
      </c>
      <c r="N7" s="71">
        <f>SUMIFS('CASH BOOK 2017'!$K:$K,'CASH BOOK 2017'!$B:$B,'CASHFLOW 2017'!N$1,'CASH BOOK 2017'!$D:$D,'CASHFLOW 2017'!$A7)</f>
        <v>0</v>
      </c>
      <c r="O7" s="71">
        <f>SUMIFS('CASH BOOK 2017'!$K:$K,'CASH BOOK 2017'!$B:$B,'CASHFLOW 2017'!O$1,'CASH BOOK 2017'!$D:$D,'CASHFLOW 2017'!$A7)</f>
        <v>0</v>
      </c>
      <c r="P7" s="69">
        <f t="shared" si="0"/>
        <v>8580</v>
      </c>
      <c r="Q7" s="70"/>
    </row>
    <row r="8" spans="1:17" x14ac:dyDescent="0.35">
      <c r="A8" s="9" t="s">
        <v>4</v>
      </c>
      <c r="C8" s="68"/>
      <c r="D8" s="71">
        <f>SUMIFS('CASH BOOK 2017'!$K:$K,'CASH BOOK 2017'!$B:$B,'CASHFLOW 2017'!D$1,'CASH BOOK 2017'!$D:$D,'CASHFLOW 2017'!$A8)</f>
        <v>0</v>
      </c>
      <c r="E8" s="71">
        <f>SUMIFS('CASH BOOK 2017'!$K:$K,'CASH BOOK 2017'!$B:$B,'CASHFLOW 2017'!E$1,'CASH BOOK 2017'!$D:$D,'CASHFLOW 2017'!$A8)</f>
        <v>0</v>
      </c>
      <c r="F8" s="71">
        <f>SUMIFS('CASH BOOK 2017'!$K:$K,'CASH BOOK 2017'!$B:$B,'CASHFLOW 2017'!F$1,'CASH BOOK 2017'!$D:$D,'CASHFLOW 2017'!$A8)</f>
        <v>0</v>
      </c>
      <c r="G8" s="71">
        <f>SUMIFS('CASH BOOK 2017'!$K:$K,'CASH BOOK 2017'!$B:$B,'CASHFLOW 2017'!G$1,'CASH BOOK 2017'!$D:$D,'CASHFLOW 2017'!$A8)</f>
        <v>0</v>
      </c>
      <c r="H8" s="71">
        <f>SUMIFS('CASH BOOK 2017'!$K:$K,'CASH BOOK 2017'!$B:$B,'CASHFLOW 2017'!H$1,'CASH BOOK 2017'!$D:$D,'CASHFLOW 2017'!$A8)</f>
        <v>0</v>
      </c>
      <c r="I8" s="71">
        <f>SUMIFS('CASH BOOK 2017'!$K:$K,'CASH BOOK 2017'!$B:$B,'CASHFLOW 2017'!I$1,'CASH BOOK 2017'!$D:$D,'CASHFLOW 2017'!$A8)</f>
        <v>0</v>
      </c>
      <c r="J8" s="71">
        <f>SUMIFS('CASH BOOK 2017'!$K:$K,'CASH BOOK 2017'!$B:$B,'CASHFLOW 2017'!J$1,'CASH BOOK 2017'!$D:$D,'CASHFLOW 2017'!$A8)</f>
        <v>0</v>
      </c>
      <c r="K8" s="71">
        <f>SUMIFS('CASH BOOK 2017'!$K:$K,'CASH BOOK 2017'!$B:$B,'CASHFLOW 2017'!K$1,'CASH BOOK 2017'!$D:$D,'CASHFLOW 2017'!$A8)</f>
        <v>0</v>
      </c>
      <c r="L8" s="71">
        <f>SUMIFS('CASH BOOK 2017'!$K:$K,'CASH BOOK 2017'!$B:$B,'CASHFLOW 2017'!L$1,'CASH BOOK 2017'!$D:$D,'CASHFLOW 2017'!$A8)</f>
        <v>0</v>
      </c>
      <c r="M8" s="71">
        <f>SUMIFS('CASH BOOK 2017'!$K:$K,'CASH BOOK 2017'!$B:$B,'CASHFLOW 2017'!M$1,'CASH BOOK 2017'!$D:$D,'CASHFLOW 2017'!$A8)</f>
        <v>0</v>
      </c>
      <c r="N8" s="71">
        <f>SUMIFS('CASH BOOK 2017'!$K:$K,'CASH BOOK 2017'!$B:$B,'CASHFLOW 2017'!N$1,'CASH BOOK 2017'!$D:$D,'CASHFLOW 2017'!$A8)</f>
        <v>0</v>
      </c>
      <c r="O8" s="71">
        <f>SUMIFS('CASH BOOK 2017'!$K:$K,'CASH BOOK 2017'!$B:$B,'CASHFLOW 2017'!O$1,'CASH BOOK 2017'!$D:$D,'CASHFLOW 2017'!$A8)</f>
        <v>0</v>
      </c>
      <c r="P8" s="92">
        <f t="shared" si="0"/>
        <v>0</v>
      </c>
      <c r="Q8" s="70">
        <v>0</v>
      </c>
    </row>
    <row r="9" spans="1:17" x14ac:dyDescent="0.35">
      <c r="A9" s="9" t="s">
        <v>38</v>
      </c>
      <c r="C9" s="68"/>
      <c r="D9" s="71">
        <f>SUMIFS('CASH BOOK 2017'!$K:$K,'CASH BOOK 2017'!$B:$B,'CASHFLOW 2017'!D$1,'CASH BOOK 2017'!$D:$D,'CASHFLOW 2017'!$A9)</f>
        <v>0</v>
      </c>
      <c r="E9" s="71">
        <f>SUMIFS('CASH BOOK 2017'!$K:$K,'CASH BOOK 2017'!$B:$B,'CASHFLOW 2017'!E$1,'CASH BOOK 2017'!$D:$D,'CASHFLOW 2017'!$A9)</f>
        <v>0</v>
      </c>
      <c r="F9" s="71">
        <f>SUMIFS('CASH BOOK 2017'!$K:$K,'CASH BOOK 2017'!$B:$B,'CASHFLOW 2017'!F$1,'CASH BOOK 2017'!$D:$D,'CASHFLOW 2017'!$A9)</f>
        <v>0</v>
      </c>
      <c r="G9" s="71">
        <f>SUMIFS('CASH BOOK 2017'!$K:$K,'CASH BOOK 2017'!$B:$B,'CASHFLOW 2017'!G$1,'CASH BOOK 2017'!$D:$D,'CASHFLOW 2017'!$A9)</f>
        <v>0</v>
      </c>
      <c r="H9" s="71">
        <f>SUMIFS('CASH BOOK 2017'!$K:$K,'CASH BOOK 2017'!$B:$B,'CASHFLOW 2017'!H$1,'CASH BOOK 2017'!$D:$D,'CASHFLOW 2017'!$A9)</f>
        <v>0</v>
      </c>
      <c r="I9" s="71">
        <f>SUMIFS('CASH BOOK 2017'!$K:$K,'CASH BOOK 2017'!$B:$B,'CASHFLOW 2017'!I$1,'CASH BOOK 2017'!$D:$D,'CASHFLOW 2017'!$A9)</f>
        <v>0</v>
      </c>
      <c r="J9" s="71">
        <f>SUMIFS('CASH BOOK 2017'!$K:$K,'CASH BOOK 2017'!$B:$B,'CASHFLOW 2017'!J$1,'CASH BOOK 2017'!$D:$D,'CASHFLOW 2017'!$A9)</f>
        <v>0</v>
      </c>
      <c r="K9" s="71">
        <f>SUMIFS('CASH BOOK 2017'!$K:$K,'CASH BOOK 2017'!$B:$B,'CASHFLOW 2017'!K$1,'CASH BOOK 2017'!$D:$D,'CASHFLOW 2017'!$A9)</f>
        <v>0</v>
      </c>
      <c r="L9" s="71">
        <f>SUMIFS('CASH BOOK 2017'!$K:$K,'CASH BOOK 2017'!$B:$B,'CASHFLOW 2017'!L$1,'CASH BOOK 2017'!$D:$D,'CASHFLOW 2017'!$A9)</f>
        <v>0</v>
      </c>
      <c r="M9" s="71">
        <f>SUMIFS('CASH BOOK 2017'!$K:$K,'CASH BOOK 2017'!$B:$B,'CASHFLOW 2017'!M$1,'CASH BOOK 2017'!$D:$D,'CASHFLOW 2017'!$A9)</f>
        <v>0</v>
      </c>
      <c r="N9" s="71">
        <f>SUMIFS('CASH BOOK 2017'!$K:$K,'CASH BOOK 2017'!$B:$B,'CASHFLOW 2017'!N$1,'CASH BOOK 2017'!$D:$D,'CASHFLOW 2017'!$A9)</f>
        <v>0</v>
      </c>
      <c r="O9" s="71">
        <f>SUMIFS('CASH BOOK 2017'!$K:$K,'CASH BOOK 2017'!$B:$B,'CASHFLOW 2017'!O$1,'CASH BOOK 2017'!$D:$D,'CASHFLOW 2017'!$A9)</f>
        <v>0</v>
      </c>
      <c r="P9" s="69">
        <f t="shared" si="0"/>
        <v>0</v>
      </c>
      <c r="Q9" s="70">
        <v>0</v>
      </c>
    </row>
    <row r="10" spans="1:17" x14ac:dyDescent="0.35">
      <c r="A10" s="9" t="s">
        <v>86</v>
      </c>
      <c r="C10" s="68"/>
      <c r="D10" s="71">
        <f>SUMIFS('CASH BOOK 2017'!$K:$K,'CASH BOOK 2017'!$B:$B,'CASHFLOW 2017'!D$1,'CASH BOOK 2017'!$D:$D,'CASHFLOW 2017'!$A10)</f>
        <v>0</v>
      </c>
      <c r="E10" s="71">
        <f>SUMIFS('CASH BOOK 2017'!$K:$K,'CASH BOOK 2017'!$B:$B,'CASHFLOW 2017'!E$1,'CASH BOOK 2017'!$D:$D,'CASHFLOW 2017'!$A10)</f>
        <v>0</v>
      </c>
      <c r="F10" s="71">
        <f>SUMIFS('CASH BOOK 2017'!$K:$K,'CASH BOOK 2017'!$B:$B,'CASHFLOW 2017'!F$1,'CASH BOOK 2017'!$D:$D,'CASHFLOW 2017'!$A10)</f>
        <v>0</v>
      </c>
      <c r="G10" s="71">
        <f>SUMIFS('CASH BOOK 2017'!$K:$K,'CASH BOOK 2017'!$B:$B,'CASHFLOW 2017'!G$1,'CASH BOOK 2017'!$D:$D,'CASHFLOW 2017'!$A10)</f>
        <v>0</v>
      </c>
      <c r="H10" s="71">
        <f>SUMIFS('CASH BOOK 2017'!$K:$K,'CASH BOOK 2017'!$B:$B,'CASHFLOW 2017'!H$1,'CASH BOOK 2017'!$D:$D,'CASHFLOW 2017'!$A10)</f>
        <v>15</v>
      </c>
      <c r="I10" s="71">
        <f>SUMIFS('CASH BOOK 2017'!$K:$K,'CASH BOOK 2017'!$B:$B,'CASHFLOW 2017'!I$1,'CASH BOOK 2017'!$D:$D,'CASHFLOW 2017'!$A10)</f>
        <v>-25</v>
      </c>
      <c r="J10" s="71">
        <f>SUMIFS('CASH BOOK 2017'!$K:$K,'CASH BOOK 2017'!$B:$B,'CASHFLOW 2017'!J$1,'CASH BOOK 2017'!$D:$D,'CASHFLOW 2017'!$A10)</f>
        <v>30</v>
      </c>
      <c r="K10" s="71">
        <f>SUMIFS('CASH BOOK 2017'!$K:$K,'CASH BOOK 2017'!$B:$B,'CASHFLOW 2017'!K$1,'CASH BOOK 2017'!$D:$D,'CASHFLOW 2017'!$A10)</f>
        <v>0</v>
      </c>
      <c r="L10" s="71">
        <f>SUMIFS('CASH BOOK 2017'!$K:$K,'CASH BOOK 2017'!$B:$B,'CASHFLOW 2017'!L$1,'CASH BOOK 2017'!$D:$D,'CASHFLOW 2017'!$A10)</f>
        <v>0</v>
      </c>
      <c r="M10" s="71">
        <f>SUMIFS('CASH BOOK 2017'!$K:$K,'CASH BOOK 2017'!$B:$B,'CASHFLOW 2017'!M$1,'CASH BOOK 2017'!$D:$D,'CASHFLOW 2017'!$A10)</f>
        <v>0</v>
      </c>
      <c r="N10" s="71">
        <f>SUMIFS('CASH BOOK 2017'!$K:$K,'CASH BOOK 2017'!$B:$B,'CASHFLOW 2017'!N$1,'CASH BOOK 2017'!$D:$D,'CASHFLOW 2017'!$A10)</f>
        <v>0</v>
      </c>
      <c r="O10" s="71">
        <f>SUMIFS('CASH BOOK 2017'!$K:$K,'CASH BOOK 2017'!$B:$B,'CASHFLOW 2017'!O$1,'CASH BOOK 2017'!$D:$D,'CASHFLOW 2017'!$A10)</f>
        <v>0</v>
      </c>
      <c r="P10" s="69">
        <f t="shared" si="0"/>
        <v>20</v>
      </c>
      <c r="Q10" s="70">
        <v>0</v>
      </c>
    </row>
    <row r="11" spans="1:17" x14ac:dyDescent="0.35">
      <c r="A11" s="9" t="s">
        <v>5</v>
      </c>
      <c r="C11" s="68"/>
      <c r="D11" s="71">
        <f>SUMIFS('CASH BOOK 2017'!$K:$K,'CASH BOOK 2017'!$B:$B,'CASHFLOW 2017'!D$1,'CASH BOOK 2017'!$D:$D,'CASHFLOW 2017'!$A11)</f>
        <v>0</v>
      </c>
      <c r="E11" s="71">
        <f>SUMIFS('CASH BOOK 2017'!$K:$K,'CASH BOOK 2017'!$B:$B,'CASHFLOW 2017'!E$1,'CASH BOOK 2017'!$D:$D,'CASHFLOW 2017'!$A11)</f>
        <v>117.5</v>
      </c>
      <c r="F11" s="71">
        <f>SUMIFS('CASH BOOK 2017'!$K:$K,'CASH BOOK 2017'!$B:$B,'CASHFLOW 2017'!F$1,'CASH BOOK 2017'!$D:$D,'CASHFLOW 2017'!$A11)</f>
        <v>0</v>
      </c>
      <c r="G11" s="71">
        <f>SUMIFS('CASH BOOK 2017'!$K:$K,'CASH BOOK 2017'!$B:$B,'CASHFLOW 2017'!G$1,'CASH BOOK 2017'!$D:$D,'CASHFLOW 2017'!$A11)</f>
        <v>113</v>
      </c>
      <c r="H11" s="71">
        <f>SUMIFS('CASH BOOK 2017'!$K:$K,'CASH BOOK 2017'!$B:$B,'CASHFLOW 2017'!H$1,'CASH BOOK 2017'!$D:$D,'CASHFLOW 2017'!$A11)</f>
        <v>0</v>
      </c>
      <c r="I11" s="71">
        <f>SUMIFS('CASH BOOK 2017'!$K:$K,'CASH BOOK 2017'!$B:$B,'CASHFLOW 2017'!I$1,'CASH BOOK 2017'!$D:$D,'CASHFLOW 2017'!$A11)</f>
        <v>0</v>
      </c>
      <c r="J11" s="71">
        <f>SUMIFS('CASH BOOK 2017'!$K:$K,'CASH BOOK 2017'!$B:$B,'CASHFLOW 2017'!J$1,'CASH BOOK 2017'!$D:$D,'CASHFLOW 2017'!$A11)</f>
        <v>0</v>
      </c>
      <c r="K11" s="71">
        <f>SUMIFS('CASH BOOK 2017'!$K:$K,'CASH BOOK 2017'!$B:$B,'CASHFLOW 2017'!K$1,'CASH BOOK 2017'!$D:$D,'CASHFLOW 2017'!$A11)</f>
        <v>0</v>
      </c>
      <c r="L11" s="71">
        <f>SUMIFS('CASH BOOK 2017'!$K:$K,'CASH BOOK 2017'!$B:$B,'CASHFLOW 2017'!L$1,'CASH BOOK 2017'!$D:$D,'CASHFLOW 2017'!$A11)</f>
        <v>0</v>
      </c>
      <c r="M11" s="71">
        <f>SUMIFS('CASH BOOK 2017'!$K:$K,'CASH BOOK 2017'!$B:$B,'CASHFLOW 2017'!M$1,'CASH BOOK 2017'!$D:$D,'CASHFLOW 2017'!$A11)</f>
        <v>0</v>
      </c>
      <c r="N11" s="71">
        <f>SUMIFS('CASH BOOK 2017'!$K:$K,'CASH BOOK 2017'!$B:$B,'CASHFLOW 2017'!N$1,'CASH BOOK 2017'!$D:$D,'CASHFLOW 2017'!$A11)</f>
        <v>362.97</v>
      </c>
      <c r="O11" s="71">
        <f>SUMIFS('CASH BOOK 2017'!$K:$K,'CASH BOOK 2017'!$B:$B,'CASHFLOW 2017'!O$1,'CASH BOOK 2017'!$D:$D,'CASHFLOW 2017'!$A11)</f>
        <v>-32.590000000000003</v>
      </c>
      <c r="P11" s="69">
        <f t="shared" si="0"/>
        <v>560.88</v>
      </c>
      <c r="Q11" s="70">
        <v>500</v>
      </c>
    </row>
    <row r="12" spans="1:17" x14ac:dyDescent="0.35">
      <c r="C12" s="68"/>
      <c r="D12" s="72">
        <f>SUM(D3:D11)</f>
        <v>8015.9000000000005</v>
      </c>
      <c r="E12" s="72">
        <f>SUM(E3:E11)</f>
        <v>1776.53</v>
      </c>
      <c r="F12" s="72">
        <f>SUM(F3:F11)</f>
        <v>348</v>
      </c>
      <c r="G12" s="72">
        <f>SUM(G3:G11)</f>
        <v>3927.3</v>
      </c>
      <c r="H12" s="72">
        <f>SUM(H3:H11)</f>
        <v>9675.5</v>
      </c>
      <c r="I12" s="72">
        <f t="shared" ref="I12:O12" si="1">SUM(I3:I11)</f>
        <v>836.5</v>
      </c>
      <c r="J12" s="72">
        <f t="shared" si="1"/>
        <v>421.5</v>
      </c>
      <c r="K12" s="72">
        <f t="shared" si="1"/>
        <v>1015.9</v>
      </c>
      <c r="L12" s="72">
        <f t="shared" si="1"/>
        <v>4666.1000000000004</v>
      </c>
      <c r="M12" s="72">
        <f t="shared" si="1"/>
        <v>13989.92</v>
      </c>
      <c r="N12" s="72">
        <f t="shared" si="1"/>
        <v>752.87</v>
      </c>
      <c r="O12" s="72">
        <f t="shared" si="1"/>
        <v>316.40999999999997</v>
      </c>
      <c r="P12" s="72">
        <f>SUM(P3:P11)</f>
        <v>45742.43</v>
      </c>
      <c r="Q12" s="73">
        <f>SUM(Q3:Q11)</f>
        <v>19898</v>
      </c>
    </row>
    <row r="13" spans="1:17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1:17" x14ac:dyDescent="0.35">
      <c r="A14" s="9" t="s">
        <v>40</v>
      </c>
      <c r="C14" s="68"/>
      <c r="D14" s="71">
        <f>SUMIFS('CASH BOOK 2017'!$K:$K,'CASH BOOK 2017'!$B:$B,'CASHFLOW 2017'!D$1,'CASH BOOK 2017'!$D:$D,'CASHFLOW 2017'!$A14)</f>
        <v>0</v>
      </c>
      <c r="E14" s="71">
        <f>SUMIFS('CASH BOOK 2017'!$K:$K,'CASH BOOK 2017'!$B:$B,'CASHFLOW 2017'!E$1,'CASH BOOK 2017'!$D:$D,'CASHFLOW 2017'!$A14)</f>
        <v>-78</v>
      </c>
      <c r="F14" s="71">
        <f>SUMIFS('CASH BOOK 2017'!$K:$K,'CASH BOOK 2017'!$B:$B,'CASHFLOW 2017'!F$1,'CASH BOOK 2017'!$D:$D,'CASHFLOW 2017'!$A14)</f>
        <v>0</v>
      </c>
      <c r="G14" s="71">
        <f>SUMIFS('CASH BOOK 2017'!$K:$K,'CASH BOOK 2017'!$B:$B,'CASHFLOW 2017'!G$1,'CASH BOOK 2017'!$D:$D,'CASHFLOW 2017'!$A14)</f>
        <v>0</v>
      </c>
      <c r="H14" s="71">
        <f>SUMIFS('CASH BOOK 2017'!$K:$K,'CASH BOOK 2017'!$B:$B,'CASHFLOW 2017'!H$1,'CASH BOOK 2017'!$D:$D,'CASHFLOW 2017'!$A14)</f>
        <v>0</v>
      </c>
      <c r="I14" s="71">
        <f>SUMIFS('CASH BOOK 2017'!$K:$K,'CASH BOOK 2017'!$B:$B,'CASHFLOW 2017'!I$1,'CASH BOOK 2017'!$D:$D,'CASHFLOW 2017'!$A14)</f>
        <v>-179.88</v>
      </c>
      <c r="J14" s="71">
        <f>SUMIFS('CASH BOOK 2017'!$K:$K,'CASH BOOK 2017'!$B:$B,'CASHFLOW 2017'!J$1,'CASH BOOK 2017'!$D:$D,'CASHFLOW 2017'!$A14)</f>
        <v>-28.8</v>
      </c>
      <c r="K14" s="71">
        <f>SUMIFS('CASH BOOK 2017'!$K:$K,'CASH BOOK 2017'!$B:$B,'CASHFLOW 2017'!K$1,'CASH BOOK 2017'!$D:$D,'CASHFLOW 2017'!$A14)</f>
        <v>-84</v>
      </c>
      <c r="L14" s="71">
        <f>SUMIFS('CASH BOOK 2017'!$K:$K,'CASH BOOK 2017'!$B:$B,'CASHFLOW 2017'!L$1,'CASH BOOK 2017'!$D:$D,'CASHFLOW 2017'!$A14)</f>
        <v>0</v>
      </c>
      <c r="M14" s="71">
        <f>SUMIFS('CASH BOOK 2017'!$K:$K,'CASH BOOK 2017'!$B:$B,'CASHFLOW 2017'!M$1,'CASH BOOK 2017'!$D:$D,'CASHFLOW 2017'!$A14)</f>
        <v>0</v>
      </c>
      <c r="N14" s="71">
        <f>SUMIFS('CASH BOOK 2017'!$K:$K,'CASH BOOK 2017'!$B:$B,'CASHFLOW 2017'!N$1,'CASH BOOK 2017'!$D:$D,'CASHFLOW 2017'!$A14)</f>
        <v>0</v>
      </c>
      <c r="O14" s="71">
        <f>SUMIFS('CASH BOOK 2017'!$K:$K,'CASH BOOK 2017'!$B:$B,'CASHFLOW 2017'!O$1,'CASH BOOK 2017'!$D:$D,'CASHFLOW 2017'!$A14)</f>
        <v>0</v>
      </c>
      <c r="P14" s="69">
        <f t="shared" ref="P14:P28" si="2">SUM(D14:O14)</f>
        <v>-370.68</v>
      </c>
      <c r="Q14" s="70">
        <v>5200</v>
      </c>
    </row>
    <row r="15" spans="1:17" x14ac:dyDescent="0.35">
      <c r="A15" s="9" t="s">
        <v>85</v>
      </c>
      <c r="C15" s="68"/>
      <c r="D15" s="71">
        <f>SUMIFS('CASH BOOK 2017'!$K:$K,'CASH BOOK 2017'!$B:$B,'CASHFLOW 2017'!D$1,'CASH BOOK 2017'!$D:$D,'CASHFLOW 2017'!$A15)</f>
        <v>0</v>
      </c>
      <c r="E15" s="71">
        <f>SUMIFS('CASH BOOK 2017'!$K:$K,'CASH BOOK 2017'!$B:$B,'CASHFLOW 2017'!E$1,'CASH BOOK 2017'!$D:$D,'CASHFLOW 2017'!$A15)</f>
        <v>-3808.24</v>
      </c>
      <c r="F15" s="71">
        <f>SUMIFS('CASH BOOK 2017'!$K:$K,'CASH BOOK 2017'!$B:$B,'CASHFLOW 2017'!F$1,'CASH BOOK 2017'!$D:$D,'CASHFLOW 2017'!$A15)</f>
        <v>0</v>
      </c>
      <c r="G15" s="71">
        <f>SUMIFS('CASH BOOK 2017'!$K:$K,'CASH BOOK 2017'!$B:$B,'CASHFLOW 2017'!G$1,'CASH BOOK 2017'!$D:$D,'CASHFLOW 2017'!$A15)</f>
        <v>0</v>
      </c>
      <c r="H15" s="71">
        <f>SUMIFS('CASH BOOK 2017'!$K:$K,'CASH BOOK 2017'!$B:$B,'CASHFLOW 2017'!H$1,'CASH BOOK 2017'!$D:$D,'CASHFLOW 2017'!$A15)</f>
        <v>-746.39</v>
      </c>
      <c r="I15" s="71">
        <f>SUMIFS('CASH BOOK 2017'!$K:$K,'CASH BOOK 2017'!$B:$B,'CASHFLOW 2017'!I$1,'CASH BOOK 2017'!$D:$D,'CASHFLOW 2017'!$A15)</f>
        <v>0</v>
      </c>
      <c r="J15" s="71">
        <f>SUMIFS('CASH BOOK 2017'!$K:$K,'CASH BOOK 2017'!$B:$B,'CASHFLOW 2017'!J$1,'CASH BOOK 2017'!$D:$D,'CASHFLOW 2017'!$A15)</f>
        <v>0</v>
      </c>
      <c r="K15" s="71">
        <f>SUMIFS('CASH BOOK 2017'!$K:$K,'CASH BOOK 2017'!$B:$B,'CASHFLOW 2017'!K$1,'CASH BOOK 2017'!$D:$D,'CASHFLOW 2017'!$A15)</f>
        <v>0</v>
      </c>
      <c r="L15" s="71">
        <f>SUMIFS('CASH BOOK 2017'!$K:$K,'CASH BOOK 2017'!$B:$B,'CASHFLOW 2017'!L$1,'CASH BOOK 2017'!$D:$D,'CASHFLOW 2017'!$A15)</f>
        <v>0</v>
      </c>
      <c r="M15" s="71">
        <f>SUMIFS('CASH BOOK 2017'!$K:$K,'CASH BOOK 2017'!$B:$B,'CASHFLOW 2017'!M$1,'CASH BOOK 2017'!$D:$D,'CASHFLOW 2017'!$A15)</f>
        <v>0</v>
      </c>
      <c r="N15" s="71">
        <f>SUMIFS('CASH BOOK 2017'!$K:$K,'CASH BOOK 2017'!$B:$B,'CASHFLOW 2017'!N$1,'CASH BOOK 2017'!$D:$D,'CASHFLOW 2017'!$A15)</f>
        <v>0</v>
      </c>
      <c r="O15" s="71">
        <f>SUMIFS('CASH BOOK 2017'!$K:$K,'CASH BOOK 2017'!$B:$B,'CASHFLOW 2017'!O$1,'CASH BOOK 2017'!$D:$D,'CASHFLOW 2017'!$A15)</f>
        <v>0</v>
      </c>
      <c r="P15" s="69">
        <f t="shared" si="2"/>
        <v>-4554.63</v>
      </c>
      <c r="Q15" s="70">
        <v>0</v>
      </c>
    </row>
    <row r="16" spans="1:17" x14ac:dyDescent="0.35">
      <c r="A16" s="9" t="s">
        <v>77</v>
      </c>
      <c r="C16" s="68"/>
      <c r="D16" s="71">
        <f>SUMIFS('CASH BOOK 2017'!$K:$K,'CASH BOOK 2017'!$B:$B,'CASHFLOW 2017'!D$1,'CASH BOOK 2017'!$D:$D,'CASHFLOW 2017'!$A16)</f>
        <v>0</v>
      </c>
      <c r="E16" s="71">
        <f>SUMIFS('CASH BOOK 2017'!$K:$K,'CASH BOOK 2017'!$B:$B,'CASHFLOW 2017'!E$1,'CASH BOOK 2017'!$D:$D,'CASHFLOW 2017'!$A16)</f>
        <v>0</v>
      </c>
      <c r="F16" s="71">
        <f>SUMIFS('CASH BOOK 2017'!$K:$K,'CASH BOOK 2017'!$B:$B,'CASHFLOW 2017'!F$1,'CASH BOOK 2017'!$D:$D,'CASHFLOW 2017'!$A16)</f>
        <v>0</v>
      </c>
      <c r="G16" s="71">
        <f>SUMIFS('CASH BOOK 2017'!$K:$K,'CASH BOOK 2017'!$B:$B,'CASHFLOW 2017'!G$1,'CASH BOOK 2017'!$D:$D,'CASHFLOW 2017'!$A16)</f>
        <v>0</v>
      </c>
      <c r="H16" s="71">
        <f>SUMIFS('CASH BOOK 2017'!$K:$K,'CASH BOOK 2017'!$B:$B,'CASHFLOW 2017'!H$1,'CASH BOOK 2017'!$D:$D,'CASHFLOW 2017'!$A16)</f>
        <v>0</v>
      </c>
      <c r="I16" s="71">
        <f>SUMIFS('CASH BOOK 2017'!$K:$K,'CASH BOOK 2017'!$B:$B,'CASHFLOW 2017'!I$1,'CASH BOOK 2017'!$D:$D,'CASHFLOW 2017'!$A16)</f>
        <v>0</v>
      </c>
      <c r="J16" s="71">
        <f>SUMIFS('CASH BOOK 2017'!$K:$K,'CASH BOOK 2017'!$B:$B,'CASHFLOW 2017'!J$1,'CASH BOOK 2017'!$D:$D,'CASHFLOW 2017'!$A16)</f>
        <v>0</v>
      </c>
      <c r="K16" s="71">
        <f>SUMIFS('CASH BOOK 2017'!$K:$K,'CASH BOOK 2017'!$B:$B,'CASHFLOW 2017'!K$1,'CASH BOOK 2017'!$D:$D,'CASHFLOW 2017'!$A16)</f>
        <v>0</v>
      </c>
      <c r="L16" s="71">
        <f>SUMIFS('CASH BOOK 2017'!$K:$K,'CASH BOOK 2017'!$B:$B,'CASHFLOW 2017'!L$1,'CASH BOOK 2017'!$D:$D,'CASHFLOW 2017'!$A16)</f>
        <v>0</v>
      </c>
      <c r="M16" s="71">
        <f>SUMIFS('CASH BOOK 2017'!$K:$K,'CASH BOOK 2017'!$B:$B,'CASHFLOW 2017'!M$1,'CASH BOOK 2017'!$D:$D,'CASHFLOW 2017'!$A16)</f>
        <v>0</v>
      </c>
      <c r="N16" s="71">
        <f>SUMIFS('CASH BOOK 2017'!$K:$K,'CASH BOOK 2017'!$B:$B,'CASHFLOW 2017'!N$1,'CASH BOOK 2017'!$D:$D,'CASHFLOW 2017'!$A16)</f>
        <v>0</v>
      </c>
      <c r="O16" s="71">
        <f>SUMIFS('CASH BOOK 2017'!$K:$K,'CASH BOOK 2017'!$B:$B,'CASHFLOW 2017'!O$1,'CASH BOOK 2017'!$D:$D,'CASHFLOW 2017'!$A16)</f>
        <v>0</v>
      </c>
      <c r="P16" s="69">
        <f t="shared" si="2"/>
        <v>0</v>
      </c>
      <c r="Q16" s="70">
        <v>3098</v>
      </c>
    </row>
    <row r="17" spans="1:17" x14ac:dyDescent="0.35">
      <c r="A17" s="9" t="s">
        <v>320</v>
      </c>
      <c r="C17" s="68"/>
      <c r="D17" s="71">
        <f>SUMIFS('CASH BOOK 2017'!$K:$K,'CASH BOOK 2017'!$B:$B,'CASHFLOW 2017'!D$1,'CASH BOOK 2017'!$D:$D,'CASHFLOW 2017'!$A17)</f>
        <v>0</v>
      </c>
      <c r="E17" s="71">
        <f>SUMIFS('CASH BOOK 2017'!$K:$K,'CASH BOOK 2017'!$B:$B,'CASHFLOW 2017'!E$1,'CASH BOOK 2017'!$D:$D,'CASHFLOW 2017'!$A17)</f>
        <v>0</v>
      </c>
      <c r="F17" s="71">
        <f>SUMIFS('CASH BOOK 2017'!$K:$K,'CASH BOOK 2017'!$B:$B,'CASHFLOW 2017'!F$1,'CASH BOOK 2017'!$D:$D,'CASHFLOW 2017'!$A17)</f>
        <v>0</v>
      </c>
      <c r="G17" s="71">
        <f>SUMIFS('CASH BOOK 2017'!$K:$K,'CASH BOOK 2017'!$B:$B,'CASHFLOW 2017'!G$1,'CASH BOOK 2017'!$D:$D,'CASHFLOW 2017'!$A17)</f>
        <v>0</v>
      </c>
      <c r="H17" s="71">
        <f>SUMIFS('CASH BOOK 2017'!$K:$K,'CASH BOOK 2017'!$B:$B,'CASHFLOW 2017'!H$1,'CASH BOOK 2017'!$D:$D,'CASHFLOW 2017'!$A17)</f>
        <v>0</v>
      </c>
      <c r="I17" s="71">
        <f>SUMIFS('CASH BOOK 2017'!$K:$K,'CASH BOOK 2017'!$B:$B,'CASHFLOW 2017'!I$1,'CASH BOOK 2017'!$D:$D,'CASHFLOW 2017'!$A17)</f>
        <v>0</v>
      </c>
      <c r="J17" s="71">
        <f>SUMIFS('CASH BOOK 2017'!$K:$K,'CASH BOOK 2017'!$B:$B,'CASHFLOW 2017'!J$1,'CASH BOOK 2017'!$D:$D,'CASHFLOW 2017'!$A17)</f>
        <v>-5986</v>
      </c>
      <c r="K17" s="71">
        <f>SUMIFS('CASH BOOK 2017'!$K:$K,'CASH BOOK 2017'!$B:$B,'CASHFLOW 2017'!K$1,'CASH BOOK 2017'!$D:$D,'CASHFLOW 2017'!$A17)</f>
        <v>-5420</v>
      </c>
      <c r="L17" s="71">
        <f>SUMIFS('CASH BOOK 2017'!$K:$K,'CASH BOOK 2017'!$B:$B,'CASHFLOW 2017'!L$1,'CASH BOOK 2017'!$D:$D,'CASHFLOW 2017'!$A17)</f>
        <v>-15822.58</v>
      </c>
      <c r="M17" s="71">
        <f>SUMIFS('CASH BOOK 2017'!$K:$K,'CASH BOOK 2017'!$B:$B,'CASHFLOW 2017'!M$1,'CASH BOOK 2017'!$D:$D,'CASHFLOW 2017'!$A17)</f>
        <v>0</v>
      </c>
      <c r="N17" s="71">
        <f>SUMIFS('CASH BOOK 2017'!$K:$K,'CASH BOOK 2017'!$B:$B,'CASHFLOW 2017'!N$1,'CASH BOOK 2017'!$D:$D,'CASHFLOW 2017'!$A17)</f>
        <v>-1200</v>
      </c>
      <c r="O17" s="71">
        <f>SUMIFS('CASH BOOK 2017'!$K:$K,'CASH BOOK 2017'!$B:$B,'CASHFLOW 2017'!O$1,'CASH BOOK 2017'!$D:$D,'CASHFLOW 2017'!$A17)</f>
        <v>0</v>
      </c>
      <c r="P17" s="69">
        <f t="shared" si="2"/>
        <v>-28428.58</v>
      </c>
      <c r="Q17" s="70"/>
    </row>
    <row r="18" spans="1:17" x14ac:dyDescent="0.35">
      <c r="A18" s="9" t="s">
        <v>8</v>
      </c>
      <c r="C18" s="68"/>
      <c r="D18" s="71">
        <f>SUMIFS('CASH BOOK 2017'!$K:$K,'CASH BOOK 2017'!$B:$B,'CASHFLOW 2017'!D$1,'CASH BOOK 2017'!$D:$D,'CASHFLOW 2017'!$A18)</f>
        <v>-400.84</v>
      </c>
      <c r="E18" s="71">
        <f>SUMIFS('CASH BOOK 2017'!$K:$K,'CASH BOOK 2017'!$B:$B,'CASHFLOW 2017'!E$1,'CASH BOOK 2017'!$D:$D,'CASHFLOW 2017'!$A18)</f>
        <v>-257.14</v>
      </c>
      <c r="F18" s="71">
        <f>SUMIFS('CASH BOOK 2017'!$K:$K,'CASH BOOK 2017'!$B:$B,'CASHFLOW 2017'!F$1,'CASH BOOK 2017'!$D:$D,'CASHFLOW 2017'!$A18)</f>
        <v>0</v>
      </c>
      <c r="G18" s="71">
        <f>SUMIFS('CASH BOOK 2017'!$K:$K,'CASH BOOK 2017'!$B:$B,'CASHFLOW 2017'!G$1,'CASH BOOK 2017'!$D:$D,'CASHFLOW 2017'!$A18)</f>
        <v>0</v>
      </c>
      <c r="H18" s="71">
        <f>SUMIFS('CASH BOOK 2017'!$K:$K,'CASH BOOK 2017'!$B:$B,'CASHFLOW 2017'!H$1,'CASH BOOK 2017'!$D:$D,'CASHFLOW 2017'!$A18)</f>
        <v>-725.59</v>
      </c>
      <c r="I18" s="71">
        <f>SUMIFS('CASH BOOK 2017'!$K:$K,'CASH BOOK 2017'!$B:$B,'CASHFLOW 2017'!I$1,'CASH BOOK 2017'!$D:$D,'CASHFLOW 2017'!$A18)</f>
        <v>-109.08</v>
      </c>
      <c r="J18" s="71">
        <f>SUMIFS('CASH BOOK 2017'!$K:$K,'CASH BOOK 2017'!$B:$B,'CASHFLOW 2017'!J$1,'CASH BOOK 2017'!$D:$D,'CASHFLOW 2017'!$A18)</f>
        <v>-64.319999999999993</v>
      </c>
      <c r="K18" s="71">
        <f>SUMIFS('CASH BOOK 2017'!$K:$K,'CASH BOOK 2017'!$B:$B,'CASHFLOW 2017'!K$1,'CASH BOOK 2017'!$D:$D,'CASHFLOW 2017'!$A18)</f>
        <v>0</v>
      </c>
      <c r="L18" s="71">
        <f>SUMIFS('CASH BOOK 2017'!$K:$K,'CASH BOOK 2017'!$B:$B,'CASHFLOW 2017'!L$1,'CASH BOOK 2017'!$D:$D,'CASHFLOW 2017'!$A18)</f>
        <v>0</v>
      </c>
      <c r="M18" s="71">
        <f>SUMIFS('CASH BOOK 2017'!$K:$K,'CASH BOOK 2017'!$B:$B,'CASHFLOW 2017'!M$1,'CASH BOOK 2017'!$D:$D,'CASHFLOW 2017'!$A18)</f>
        <v>-176.4</v>
      </c>
      <c r="N18" s="71">
        <f>SUMIFS('CASH BOOK 2017'!$K:$K,'CASH BOOK 2017'!$B:$B,'CASHFLOW 2017'!N$1,'CASH BOOK 2017'!$D:$D,'CASHFLOW 2017'!$A18)</f>
        <v>0</v>
      </c>
      <c r="O18" s="71">
        <f>SUMIFS('CASH BOOK 2017'!$K:$K,'CASH BOOK 2017'!$B:$B,'CASHFLOW 2017'!O$1,'CASH BOOK 2017'!$D:$D,'CASHFLOW 2017'!$A18)</f>
        <v>0</v>
      </c>
      <c r="P18" s="69">
        <f t="shared" si="2"/>
        <v>-1733.3700000000001</v>
      </c>
      <c r="Q18" s="70">
        <v>2000</v>
      </c>
    </row>
    <row r="19" spans="1:17" x14ac:dyDescent="0.35">
      <c r="A19" s="9" t="s">
        <v>9</v>
      </c>
      <c r="C19" s="68"/>
      <c r="D19" s="71">
        <f>SUMIFS('CASH BOOK 2017'!$K:$K,'CASH BOOK 2017'!$B:$B,'CASHFLOW 2017'!D$1,'CASH BOOK 2017'!$D:$D,'CASHFLOW 2017'!$A19)</f>
        <v>-121.78</v>
      </c>
      <c r="E19" s="71">
        <f>SUMIFS('CASH BOOK 2017'!$K:$K,'CASH BOOK 2017'!$B:$B,'CASHFLOW 2017'!E$1,'CASH BOOK 2017'!$D:$D,'CASHFLOW 2017'!$A19)</f>
        <v>-116.73</v>
      </c>
      <c r="F19" s="71">
        <f>SUMIFS('CASH BOOK 2017'!$K:$K,'CASH BOOK 2017'!$B:$B,'CASHFLOW 2017'!F$1,'CASH BOOK 2017'!$D:$D,'CASHFLOW 2017'!$A19)</f>
        <v>-218.61</v>
      </c>
      <c r="G19" s="71">
        <f>SUMIFS('CASH BOOK 2017'!$K:$K,'CASH BOOK 2017'!$B:$B,'CASHFLOW 2017'!G$1,'CASH BOOK 2017'!$D:$D,'CASHFLOW 2017'!$A19)</f>
        <v>-184.33</v>
      </c>
      <c r="H19" s="71">
        <f>SUMIFS('CASH BOOK 2017'!$K:$K,'CASH BOOK 2017'!$B:$B,'CASHFLOW 2017'!H$1,'CASH BOOK 2017'!$D:$D,'CASHFLOW 2017'!$A19)</f>
        <v>-204.27</v>
      </c>
      <c r="I19" s="71">
        <f>SUMIFS('CASH BOOK 2017'!$K:$K,'CASH BOOK 2017'!$B:$B,'CASHFLOW 2017'!I$1,'CASH BOOK 2017'!$D:$D,'CASHFLOW 2017'!$A19)</f>
        <v>-151.16999999999999</v>
      </c>
      <c r="J19" s="71">
        <f>SUMIFS('CASH BOOK 2017'!$K:$K,'CASH BOOK 2017'!$B:$B,'CASHFLOW 2017'!J$1,'CASH BOOK 2017'!$D:$D,'CASHFLOW 2017'!$A19)</f>
        <v>-39.6</v>
      </c>
      <c r="K19" s="71">
        <f>SUMIFS('CASH BOOK 2017'!$K:$K,'CASH BOOK 2017'!$B:$B,'CASHFLOW 2017'!K$1,'CASH BOOK 2017'!$D:$D,'CASHFLOW 2017'!$A19)</f>
        <v>-148.51</v>
      </c>
      <c r="L19" s="71">
        <f>SUMIFS('CASH BOOK 2017'!$K:$K,'CASH BOOK 2017'!$B:$B,'CASHFLOW 2017'!L$1,'CASH BOOK 2017'!$D:$D,'CASHFLOW 2017'!$A19)</f>
        <v>0</v>
      </c>
      <c r="M19" s="71">
        <f>SUMIFS('CASH BOOK 2017'!$K:$K,'CASH BOOK 2017'!$B:$B,'CASHFLOW 2017'!M$1,'CASH BOOK 2017'!$D:$D,'CASHFLOW 2017'!$A19)</f>
        <v>-4.4800000000000004</v>
      </c>
      <c r="N19" s="71">
        <f>SUMIFS('CASH BOOK 2017'!$K:$K,'CASH BOOK 2017'!$B:$B,'CASHFLOW 2017'!N$1,'CASH BOOK 2017'!$D:$D,'CASHFLOW 2017'!$A19)</f>
        <v>-106.37</v>
      </c>
      <c r="O19" s="71">
        <f>SUMIFS('CASH BOOK 2017'!$K:$K,'CASH BOOK 2017'!$B:$B,'CASHFLOW 2017'!O$1,'CASH BOOK 2017'!$D:$D,'CASHFLOW 2017'!$A19)</f>
        <v>-139.6</v>
      </c>
      <c r="P19" s="69">
        <f t="shared" si="2"/>
        <v>-1435.4499999999998</v>
      </c>
      <c r="Q19" s="70">
        <v>2000</v>
      </c>
    </row>
    <row r="20" spans="1:17" x14ac:dyDescent="0.35">
      <c r="A20" s="9" t="s">
        <v>301</v>
      </c>
      <c r="C20" s="68"/>
      <c r="D20" s="71">
        <f>SUMIFS('CASH BOOK 2017'!$K:$K,'CASH BOOK 2017'!$B:$B,'CASHFLOW 2017'!D$1,'CASH BOOK 2017'!$D:$D,'CASHFLOW 2017'!$A20)</f>
        <v>0</v>
      </c>
      <c r="E20" s="71">
        <f>SUMIFS('CASH BOOK 2017'!$K:$K,'CASH BOOK 2017'!$B:$B,'CASHFLOW 2017'!E$1,'CASH BOOK 2017'!$D:$D,'CASHFLOW 2017'!$A20)</f>
        <v>0</v>
      </c>
      <c r="F20" s="71">
        <f>SUMIFS('CASH BOOK 2017'!$K:$K,'CASH BOOK 2017'!$B:$B,'CASHFLOW 2017'!F$1,'CASH BOOK 2017'!$D:$D,'CASHFLOW 2017'!$A20)</f>
        <v>0</v>
      </c>
      <c r="G20" s="71">
        <f>SUMIFS('CASH BOOK 2017'!$K:$K,'CASH BOOK 2017'!$B:$B,'CASHFLOW 2017'!G$1,'CASH BOOK 2017'!$D:$D,'CASHFLOW 2017'!$A20)</f>
        <v>0</v>
      </c>
      <c r="H20" s="71">
        <f>SUMIFS('CASH BOOK 2017'!$K:$K,'CASH BOOK 2017'!$B:$B,'CASHFLOW 2017'!H$1,'CASH BOOK 2017'!$D:$D,'CASHFLOW 2017'!$A20)</f>
        <v>0</v>
      </c>
      <c r="I20" s="71">
        <f>SUMIFS('CASH BOOK 2017'!$K:$K,'CASH BOOK 2017'!$B:$B,'CASHFLOW 2017'!I$1,'CASH BOOK 2017'!$D:$D,'CASHFLOW 2017'!$A20)</f>
        <v>-39.409999999999997</v>
      </c>
      <c r="J20" s="71">
        <f>SUMIFS('CASH BOOK 2017'!$K:$K,'CASH BOOK 2017'!$B:$B,'CASHFLOW 2017'!J$1,'CASH BOOK 2017'!$D:$D,'CASHFLOW 2017'!$A20)</f>
        <v>-34.68</v>
      </c>
      <c r="K20" s="71">
        <f>SUMIFS('CASH BOOK 2017'!$K:$K,'CASH BOOK 2017'!$B:$B,'CASHFLOW 2017'!K$1,'CASH BOOK 2017'!$D:$D,'CASHFLOW 2017'!$A20)</f>
        <v>-34.68</v>
      </c>
      <c r="L20" s="71">
        <f>SUMIFS('CASH BOOK 2017'!$K:$K,'CASH BOOK 2017'!$B:$B,'CASHFLOW 2017'!L$1,'CASH BOOK 2017'!$D:$D,'CASHFLOW 2017'!$A20)</f>
        <v>-34.68</v>
      </c>
      <c r="M20" s="71">
        <f>SUMIFS('CASH BOOK 2017'!$K:$K,'CASH BOOK 2017'!$B:$B,'CASHFLOW 2017'!M$1,'CASH BOOK 2017'!$D:$D,'CASHFLOW 2017'!$A20)</f>
        <v>-34.68</v>
      </c>
      <c r="N20" s="71">
        <f>SUMIFS('CASH BOOK 2017'!$K:$K,'CASH BOOK 2017'!$B:$B,'CASHFLOW 2017'!N$1,'CASH BOOK 2017'!$D:$D,'CASHFLOW 2017'!$A20)</f>
        <v>-34.68</v>
      </c>
      <c r="O20" s="71">
        <f>SUMIFS('CASH BOOK 2017'!$K:$K,'CASH BOOK 2017'!$B:$B,'CASHFLOW 2017'!O$1,'CASH BOOK 2017'!$D:$D,'CASHFLOW 2017'!$A20)</f>
        <v>-34.68</v>
      </c>
      <c r="P20" s="69">
        <f t="shared" si="2"/>
        <v>-247.49000000000004</v>
      </c>
      <c r="Q20" s="70"/>
    </row>
    <row r="21" spans="1:17" x14ac:dyDescent="0.35">
      <c r="A21" s="9" t="s">
        <v>10</v>
      </c>
      <c r="C21" s="68"/>
      <c r="D21" s="71">
        <f>SUMIFS('CASH BOOK 2017'!$K:$K,'CASH BOOK 2017'!$B:$B,'CASHFLOW 2017'!D$1,'CASH BOOK 2017'!$D:$D,'CASHFLOW 2017'!$A21)</f>
        <v>0</v>
      </c>
      <c r="E21" s="71">
        <f>SUMIFS('CASH BOOK 2017'!$K:$K,'CASH BOOK 2017'!$B:$B,'CASHFLOW 2017'!E$1,'CASH BOOK 2017'!$D:$D,'CASHFLOW 2017'!$A21)</f>
        <v>0</v>
      </c>
      <c r="F21" s="71">
        <f>SUMIFS('CASH BOOK 2017'!$K:$K,'CASH BOOK 2017'!$B:$B,'CASHFLOW 2017'!F$1,'CASH BOOK 2017'!$D:$D,'CASHFLOW 2017'!$A21)</f>
        <v>0</v>
      </c>
      <c r="G21" s="71">
        <f>SUMIFS('CASH BOOK 2017'!$K:$K,'CASH BOOK 2017'!$B:$B,'CASHFLOW 2017'!G$1,'CASH BOOK 2017'!$D:$D,'CASHFLOW 2017'!$A21)</f>
        <v>0</v>
      </c>
      <c r="H21" s="71">
        <f>SUMIFS('CASH BOOK 2017'!$K:$K,'CASH BOOK 2017'!$B:$B,'CASHFLOW 2017'!H$1,'CASH BOOK 2017'!$D:$D,'CASHFLOW 2017'!$A21)</f>
        <v>0</v>
      </c>
      <c r="I21" s="71">
        <f>SUMIFS('CASH BOOK 2017'!$K:$K,'CASH BOOK 2017'!$B:$B,'CASHFLOW 2017'!I$1,'CASH BOOK 2017'!$D:$D,'CASHFLOW 2017'!$A21)</f>
        <v>0</v>
      </c>
      <c r="J21" s="71">
        <f>SUMIFS('CASH BOOK 2017'!$K:$K,'CASH BOOK 2017'!$B:$B,'CASHFLOW 2017'!J$1,'CASH BOOK 2017'!$D:$D,'CASHFLOW 2017'!$A21)</f>
        <v>0</v>
      </c>
      <c r="K21" s="71">
        <f>SUMIFS('CASH BOOK 2017'!$K:$K,'CASH BOOK 2017'!$B:$B,'CASHFLOW 2017'!K$1,'CASH BOOK 2017'!$D:$D,'CASHFLOW 2017'!$A21)</f>
        <v>0</v>
      </c>
      <c r="L21" s="71">
        <f>SUMIFS('CASH BOOK 2017'!$K:$K,'CASH BOOK 2017'!$B:$B,'CASHFLOW 2017'!L$1,'CASH BOOK 2017'!$D:$D,'CASHFLOW 2017'!$A21)</f>
        <v>0</v>
      </c>
      <c r="M21" s="71">
        <f>SUMIFS('CASH BOOK 2017'!$K:$K,'CASH BOOK 2017'!$B:$B,'CASHFLOW 2017'!M$1,'CASH BOOK 2017'!$D:$D,'CASHFLOW 2017'!$A21)</f>
        <v>0</v>
      </c>
      <c r="N21" s="71">
        <f>SUMIFS('CASH BOOK 2017'!$K:$K,'CASH BOOK 2017'!$B:$B,'CASHFLOW 2017'!N$1,'CASH BOOK 2017'!$D:$D,'CASHFLOW 2017'!$A21)</f>
        <v>-1377.31</v>
      </c>
      <c r="O21" s="71">
        <f>SUMIFS('CASH BOOK 2017'!$K:$K,'CASH BOOK 2017'!$B:$B,'CASHFLOW 2017'!O$1,'CASH BOOK 2017'!$D:$D,'CASHFLOW 2017'!$A21)</f>
        <v>0</v>
      </c>
      <c r="P21" s="69">
        <f t="shared" si="2"/>
        <v>-1377.31</v>
      </c>
      <c r="Q21" s="70">
        <v>1500</v>
      </c>
    </row>
    <row r="22" spans="1:17" x14ac:dyDescent="0.35">
      <c r="A22" s="9" t="s">
        <v>11</v>
      </c>
      <c r="C22" s="68"/>
      <c r="D22" s="71">
        <f>SUMIFS('CASH BOOK 2017'!$K:$K,'CASH BOOK 2017'!$B:$B,'CASHFLOW 2017'!D$1,'CASH BOOK 2017'!$D:$D,'CASHFLOW 2017'!$A22)</f>
        <v>-73.14</v>
      </c>
      <c r="E22" s="71">
        <f>SUMIFS('CASH BOOK 2017'!$K:$K,'CASH BOOK 2017'!$B:$B,'CASHFLOW 2017'!E$1,'CASH BOOK 2017'!$D:$D,'CASHFLOW 2017'!$A22)</f>
        <v>-82.88</v>
      </c>
      <c r="F22" s="71">
        <f>SUMIFS('CASH BOOK 2017'!$K:$K,'CASH BOOK 2017'!$B:$B,'CASHFLOW 2017'!F$1,'CASH BOOK 2017'!$D:$D,'CASHFLOW 2017'!$A22)</f>
        <v>-82.88</v>
      </c>
      <c r="G22" s="71">
        <f>SUMIFS('CASH BOOK 2017'!$K:$K,'CASH BOOK 2017'!$B:$B,'CASHFLOW 2017'!G$1,'CASH BOOK 2017'!$D:$D,'CASHFLOW 2017'!$A22)</f>
        <v>-82.88</v>
      </c>
      <c r="H22" s="71">
        <f>SUMIFS('CASH BOOK 2017'!$K:$K,'CASH BOOK 2017'!$B:$B,'CASHFLOW 2017'!H$1,'CASH BOOK 2017'!$D:$D,'CASHFLOW 2017'!$A22)</f>
        <v>-82.88</v>
      </c>
      <c r="I22" s="71">
        <f>SUMIFS('CASH BOOK 2017'!$K:$K,'CASH BOOK 2017'!$B:$B,'CASHFLOW 2017'!I$1,'CASH BOOK 2017'!$D:$D,'CASHFLOW 2017'!$A22)</f>
        <v>-82.88</v>
      </c>
      <c r="J22" s="71">
        <f>SUMIFS('CASH BOOK 2017'!$K:$K,'CASH BOOK 2017'!$B:$B,'CASHFLOW 2017'!J$1,'CASH BOOK 2017'!$D:$D,'CASHFLOW 2017'!$A22)</f>
        <v>-82.88</v>
      </c>
      <c r="K22" s="71">
        <f>SUMIFS('CASH BOOK 2017'!$K:$K,'CASH BOOK 2017'!$B:$B,'CASHFLOW 2017'!K$1,'CASH BOOK 2017'!$D:$D,'CASHFLOW 2017'!$A22)</f>
        <v>-82.88</v>
      </c>
      <c r="L22" s="71">
        <f>SUMIFS('CASH BOOK 2017'!$K:$K,'CASH BOOK 2017'!$B:$B,'CASHFLOW 2017'!L$1,'CASH BOOK 2017'!$D:$D,'CASHFLOW 2017'!$A22)</f>
        <v>-82.88</v>
      </c>
      <c r="M22" s="71">
        <f>SUMIFS('CASH BOOK 2017'!$K:$K,'CASH BOOK 2017'!$B:$B,'CASHFLOW 2017'!M$1,'CASH BOOK 2017'!$D:$D,'CASHFLOW 2017'!$A22)</f>
        <v>-82.88</v>
      </c>
      <c r="N22" s="71">
        <f>SUMIFS('CASH BOOK 2017'!$K:$K,'CASH BOOK 2017'!$B:$B,'CASHFLOW 2017'!N$1,'CASH BOOK 2017'!$D:$D,'CASHFLOW 2017'!$A22)</f>
        <v>-82.88</v>
      </c>
      <c r="O22" s="71">
        <f>SUMIFS('CASH BOOK 2017'!$K:$K,'CASH BOOK 2017'!$B:$B,'CASHFLOW 2017'!O$1,'CASH BOOK 2017'!$D:$D,'CASHFLOW 2017'!$A22)</f>
        <v>-82.88</v>
      </c>
      <c r="P22" s="69">
        <f t="shared" si="2"/>
        <v>-984.81999999999994</v>
      </c>
      <c r="Q22" s="70">
        <v>400</v>
      </c>
    </row>
    <row r="23" spans="1:17" x14ac:dyDescent="0.35">
      <c r="A23" s="9" t="s">
        <v>12</v>
      </c>
      <c r="C23" s="68"/>
      <c r="D23" s="71">
        <f>SUMIFS('CASH BOOK 2017'!$K:$K,'CASH BOOK 2017'!$B:$B,'CASHFLOW 2017'!D$1,'CASH BOOK 2017'!$D:$D,'CASHFLOW 2017'!$A23)</f>
        <v>-334.74</v>
      </c>
      <c r="E23" s="71">
        <f>SUMIFS('CASH BOOK 2017'!$K:$K,'CASH BOOK 2017'!$B:$B,'CASHFLOW 2017'!E$1,'CASH BOOK 2017'!$D:$D,'CASHFLOW 2017'!$A23)</f>
        <v>-317.44</v>
      </c>
      <c r="F23" s="71">
        <f>SUMIFS('CASH BOOK 2017'!$K:$K,'CASH BOOK 2017'!$B:$B,'CASHFLOW 2017'!F$1,'CASH BOOK 2017'!$D:$D,'CASHFLOW 2017'!$A23)</f>
        <v>-317.44</v>
      </c>
      <c r="G23" s="71">
        <f>SUMIFS('CASH BOOK 2017'!$K:$K,'CASH BOOK 2017'!$B:$B,'CASHFLOW 2017'!G$1,'CASH BOOK 2017'!$D:$D,'CASHFLOW 2017'!$A23)</f>
        <v>-317.44</v>
      </c>
      <c r="H23" s="71">
        <f>SUMIFS('CASH BOOK 2017'!$K:$K,'CASH BOOK 2017'!$B:$B,'CASHFLOW 2017'!H$1,'CASH BOOK 2017'!$D:$D,'CASHFLOW 2017'!$A23)</f>
        <v>-317.44</v>
      </c>
      <c r="I23" s="71">
        <f>SUMIFS('CASH BOOK 2017'!$K:$K,'CASH BOOK 2017'!$B:$B,'CASHFLOW 2017'!I$1,'CASH BOOK 2017'!$D:$D,'CASHFLOW 2017'!$A23)</f>
        <v>-317.44</v>
      </c>
      <c r="J23" s="71">
        <f>SUMIFS('CASH BOOK 2017'!$K:$K,'CASH BOOK 2017'!$B:$B,'CASHFLOW 2017'!J$1,'CASH BOOK 2017'!$D:$D,'CASHFLOW 2017'!$A23)</f>
        <v>-431.78999999999996</v>
      </c>
      <c r="K23" s="71">
        <f>SUMIFS('CASH BOOK 2017'!$K:$K,'CASH BOOK 2017'!$B:$B,'CASHFLOW 2017'!K$1,'CASH BOOK 2017'!$D:$D,'CASHFLOW 2017'!$A23)</f>
        <v>-355.84</v>
      </c>
      <c r="L23" s="71">
        <f>SUMIFS('CASH BOOK 2017'!$K:$K,'CASH BOOK 2017'!$B:$B,'CASHFLOW 2017'!L$1,'CASH BOOK 2017'!$D:$D,'CASHFLOW 2017'!$A23)</f>
        <v>-369.77</v>
      </c>
      <c r="M23" s="71">
        <f>SUMIFS('CASH BOOK 2017'!$K:$K,'CASH BOOK 2017'!$B:$B,'CASHFLOW 2017'!M$1,'CASH BOOK 2017'!$D:$D,'CASHFLOW 2017'!$A23)</f>
        <v>-374.01</v>
      </c>
      <c r="N23" s="71">
        <f>SUMIFS('CASH BOOK 2017'!$K:$K,'CASH BOOK 2017'!$B:$B,'CASHFLOW 2017'!N$1,'CASH BOOK 2017'!$D:$D,'CASHFLOW 2017'!$A23)</f>
        <v>-374.01</v>
      </c>
      <c r="O23" s="71">
        <f>SUMIFS('CASH BOOK 2017'!$K:$K,'CASH BOOK 2017'!$B:$B,'CASHFLOW 2017'!O$1,'CASH BOOK 2017'!$D:$D,'CASHFLOW 2017'!$A23)</f>
        <v>-474.72</v>
      </c>
      <c r="P23" s="69">
        <f t="shared" si="2"/>
        <v>-4302.0800000000008</v>
      </c>
      <c r="Q23" s="70">
        <v>4000</v>
      </c>
    </row>
    <row r="24" spans="1:17" x14ac:dyDescent="0.35">
      <c r="A24" s="9" t="s">
        <v>13</v>
      </c>
      <c r="C24" s="68"/>
      <c r="D24" s="71">
        <f>SUMIFS('CASH BOOK 2017'!$K:$K,'CASH BOOK 2017'!$B:$B,'CASHFLOW 2017'!D$1,'CASH BOOK 2017'!$D:$D,'CASHFLOW 2017'!$A24)</f>
        <v>0</v>
      </c>
      <c r="E24" s="71">
        <f>SUMIFS('CASH BOOK 2017'!$K:$K,'CASH BOOK 2017'!$B:$B,'CASHFLOW 2017'!E$1,'CASH BOOK 2017'!$D:$D,'CASHFLOW 2017'!$A24)</f>
        <v>0</v>
      </c>
      <c r="F24" s="71">
        <f>SUMIFS('CASH BOOK 2017'!$K:$K,'CASH BOOK 2017'!$B:$B,'CASHFLOW 2017'!F$1,'CASH BOOK 2017'!$D:$D,'CASHFLOW 2017'!$A24)</f>
        <v>0</v>
      </c>
      <c r="G24" s="71">
        <f>SUMIFS('CASH BOOK 2017'!$K:$K,'CASH BOOK 2017'!$B:$B,'CASHFLOW 2017'!G$1,'CASH BOOK 2017'!$D:$D,'CASHFLOW 2017'!$A24)</f>
        <v>0</v>
      </c>
      <c r="H24" s="71">
        <f>SUMIFS('CASH BOOK 2017'!$K:$K,'CASH BOOK 2017'!$B:$B,'CASHFLOW 2017'!H$1,'CASH BOOK 2017'!$D:$D,'CASHFLOW 2017'!$A24)</f>
        <v>-124</v>
      </c>
      <c r="I24" s="71">
        <f>SUMIFS('CASH BOOK 2017'!$K:$K,'CASH BOOK 2017'!$B:$B,'CASHFLOW 2017'!I$1,'CASH BOOK 2017'!$D:$D,'CASHFLOW 2017'!$A24)</f>
        <v>0</v>
      </c>
      <c r="J24" s="71">
        <f>SUMIFS('CASH BOOK 2017'!$K:$K,'CASH BOOK 2017'!$B:$B,'CASHFLOW 2017'!J$1,'CASH BOOK 2017'!$D:$D,'CASHFLOW 2017'!$A24)</f>
        <v>-437.62</v>
      </c>
      <c r="K24" s="71">
        <f>SUMIFS('CASH BOOK 2017'!$K:$K,'CASH BOOK 2017'!$B:$B,'CASHFLOW 2017'!K$1,'CASH BOOK 2017'!$D:$D,'CASHFLOW 2017'!$A24)</f>
        <v>0</v>
      </c>
      <c r="L24" s="71">
        <f>SUMIFS('CASH BOOK 2017'!$K:$K,'CASH BOOK 2017'!$B:$B,'CASHFLOW 2017'!L$1,'CASH BOOK 2017'!$D:$D,'CASHFLOW 2017'!$A24)</f>
        <v>0</v>
      </c>
      <c r="M24" s="71">
        <f>SUMIFS('CASH BOOK 2017'!$K:$K,'CASH BOOK 2017'!$B:$B,'CASHFLOW 2017'!M$1,'CASH BOOK 2017'!$D:$D,'CASHFLOW 2017'!$A24)</f>
        <v>0</v>
      </c>
      <c r="N24" s="71">
        <f>SUMIFS('CASH BOOK 2017'!$K:$K,'CASH BOOK 2017'!$B:$B,'CASHFLOW 2017'!N$1,'CASH BOOK 2017'!$D:$D,'CASHFLOW 2017'!$A24)</f>
        <v>0</v>
      </c>
      <c r="O24" s="71">
        <f>SUMIFS('CASH BOOK 2017'!$K:$K,'CASH BOOK 2017'!$B:$B,'CASHFLOW 2017'!O$1,'CASH BOOK 2017'!$D:$D,'CASHFLOW 2017'!$A24)</f>
        <v>0</v>
      </c>
      <c r="P24" s="69">
        <f t="shared" si="2"/>
        <v>-561.62</v>
      </c>
      <c r="Q24" s="70">
        <v>500</v>
      </c>
    </row>
    <row r="25" spans="1:17" x14ac:dyDescent="0.35">
      <c r="A25" s="9" t="s">
        <v>468</v>
      </c>
      <c r="C25" s="68"/>
      <c r="D25" s="71">
        <f>SUMIFS('CASH BOOK 2017'!$K:$K,'CASH BOOK 2017'!$B:$B,'CASHFLOW 2017'!D$1,'CASH BOOK 2017'!$D:$D,'CASHFLOW 2017'!$A25)</f>
        <v>0</v>
      </c>
      <c r="E25" s="71">
        <f>SUMIFS('CASH BOOK 2017'!$K:$K,'CASH BOOK 2017'!$B:$B,'CASHFLOW 2017'!E$1,'CASH BOOK 2017'!$D:$D,'CASHFLOW 2017'!$A25)</f>
        <v>0</v>
      </c>
      <c r="F25" s="71">
        <f>SUMIFS('CASH BOOK 2017'!$K:$K,'CASH BOOK 2017'!$B:$B,'CASHFLOW 2017'!F$1,'CASH BOOK 2017'!$D:$D,'CASHFLOW 2017'!$A25)</f>
        <v>0</v>
      </c>
      <c r="G25" s="71">
        <f>SUMIFS('CASH BOOK 2017'!$K:$K,'CASH BOOK 2017'!$B:$B,'CASHFLOW 2017'!G$1,'CASH BOOK 2017'!$D:$D,'CASHFLOW 2017'!$A25)</f>
        <v>0</v>
      </c>
      <c r="H25" s="71">
        <f>SUMIFS('CASH BOOK 2017'!$K:$K,'CASH BOOK 2017'!$B:$B,'CASHFLOW 2017'!H$1,'CASH BOOK 2017'!$D:$D,'CASHFLOW 2017'!$A25)</f>
        <v>0</v>
      </c>
      <c r="I25" s="71">
        <f>SUMIFS('CASH BOOK 2017'!$K:$K,'CASH BOOK 2017'!$B:$B,'CASHFLOW 2017'!I$1,'CASH BOOK 2017'!$D:$D,'CASHFLOW 2017'!$A25)</f>
        <v>0</v>
      </c>
      <c r="J25" s="71">
        <f>SUMIFS('CASH BOOK 2017'!$K:$K,'CASH BOOK 2017'!$B:$B,'CASHFLOW 2017'!J$1,'CASH BOOK 2017'!$D:$D,'CASHFLOW 2017'!$A25)</f>
        <v>0</v>
      </c>
      <c r="K25" s="71">
        <f>SUMIFS('CASH BOOK 2017'!$K:$K,'CASH BOOK 2017'!$B:$B,'CASHFLOW 2017'!K$1,'CASH BOOK 2017'!$D:$D,'CASHFLOW 2017'!$A25)</f>
        <v>0</v>
      </c>
      <c r="L25" s="71">
        <f>SUMIFS('CASH BOOK 2017'!$K:$K,'CASH BOOK 2017'!$B:$B,'CASHFLOW 2017'!L$1,'CASH BOOK 2017'!$D:$D,'CASHFLOW 2017'!$A25)</f>
        <v>0</v>
      </c>
      <c r="M25" s="71">
        <f>SUMIFS('CASH BOOK 2017'!$K:$K,'CASH BOOK 2017'!$B:$B,'CASHFLOW 2017'!M$1,'CASH BOOK 2017'!$D:$D,'CASHFLOW 2017'!$A25)</f>
        <v>0</v>
      </c>
      <c r="N25" s="71">
        <f>SUMIFS('CASH BOOK 2017'!$K:$K,'CASH BOOK 2017'!$B:$B,'CASHFLOW 2017'!N$1,'CASH BOOK 2017'!$D:$D,'CASHFLOW 2017'!$A25)</f>
        <v>0</v>
      </c>
      <c r="O25" s="71">
        <f>SUMIFS('CASH BOOK 2017'!$K:$K,'CASH BOOK 2017'!$B:$B,'CASHFLOW 2017'!O$1,'CASH BOOK 2017'!$D:$D,'CASHFLOW 2017'!$A25)</f>
        <v>-55</v>
      </c>
      <c r="P25" s="69">
        <f t="shared" si="2"/>
        <v>-55</v>
      </c>
      <c r="Q25" s="70"/>
    </row>
    <row r="26" spans="1:17" x14ac:dyDescent="0.35">
      <c r="A26" s="9" t="s">
        <v>621</v>
      </c>
      <c r="C26" s="68"/>
      <c r="D26" s="71">
        <f>SUMIFS('CASH BOOK 2017'!$K:$K,'CASH BOOK 2017'!$B:$B,'CASHFLOW 2017'!D$1,'CASH BOOK 2017'!$D:$D,'CASHFLOW 2017'!$A26)</f>
        <v>-6</v>
      </c>
      <c r="E26" s="71">
        <f>SUMIFS('CASH BOOK 2017'!$K:$K,'CASH BOOK 2017'!$B:$B,'CASHFLOW 2017'!E$1,'CASH BOOK 2017'!$D:$D,'CASHFLOW 2017'!$A26)</f>
        <v>6</v>
      </c>
      <c r="F26" s="71">
        <f>SUMIFS('CASH BOOK 2017'!$K:$K,'CASH BOOK 2017'!$B:$B,'CASHFLOW 2017'!F$1,'CASH BOOK 2017'!$D:$D,'CASHFLOW 2017'!$A26)</f>
        <v>-7.96</v>
      </c>
      <c r="G26" s="71">
        <f>SUMIFS('CASH BOOK 2017'!$K:$K,'CASH BOOK 2017'!$B:$B,'CASHFLOW 2017'!G$1,'CASH BOOK 2017'!$D:$D,'CASHFLOW 2017'!$A26)</f>
        <v>-50</v>
      </c>
      <c r="H26" s="71">
        <f>SUMIFS('CASH BOOK 2017'!$K:$K,'CASH BOOK 2017'!$B:$B,'CASHFLOW 2017'!H$1,'CASH BOOK 2017'!$D:$D,'CASHFLOW 2017'!$A26)</f>
        <v>-336.96</v>
      </c>
      <c r="I26" s="71">
        <f>SUMIFS('CASH BOOK 2017'!$K:$K,'CASH BOOK 2017'!$B:$B,'CASHFLOW 2017'!I$1,'CASH BOOK 2017'!$D:$D,'CASHFLOW 2017'!$A26)</f>
        <v>0</v>
      </c>
      <c r="J26" s="71">
        <f>SUMIFS('CASH BOOK 2017'!$K:$K,'CASH BOOK 2017'!$B:$B,'CASHFLOW 2017'!J$1,'CASH BOOK 2017'!$D:$D,'CASHFLOW 2017'!$A26)</f>
        <v>0</v>
      </c>
      <c r="K26" s="71">
        <f>SUMIFS('CASH BOOK 2017'!$K:$K,'CASH BOOK 2017'!$B:$B,'CASHFLOW 2017'!K$1,'CASH BOOK 2017'!$D:$D,'CASHFLOW 2017'!$A26)</f>
        <v>0</v>
      </c>
      <c r="L26" s="71">
        <f>SUMIFS('CASH BOOK 2017'!$K:$K,'CASH BOOK 2017'!$B:$B,'CASHFLOW 2017'!L$1,'CASH BOOK 2017'!$D:$D,'CASHFLOW 2017'!$A26)</f>
        <v>-10.130000000000001</v>
      </c>
      <c r="M26" s="71">
        <f>SUMIFS('CASH BOOK 2017'!$K:$K,'CASH BOOK 2017'!$B:$B,'CASHFLOW 2017'!M$1,'CASH BOOK 2017'!$D:$D,'CASHFLOW 2017'!$A26)</f>
        <v>0</v>
      </c>
      <c r="N26" s="71">
        <f>SUMIFS('CASH BOOK 2017'!$K:$K,'CASH BOOK 2017'!$B:$B,'CASHFLOW 2017'!N$1,'CASH BOOK 2017'!$D:$D,'CASHFLOW 2017'!$A26)</f>
        <v>-448.24</v>
      </c>
      <c r="O26" s="71">
        <f>SUMIFS('CASH BOOK 2017'!$K:$K,'CASH BOOK 2017'!$B:$B,'CASHFLOW 2017'!O$1,'CASH BOOK 2017'!$D:$D,'CASHFLOW 2017'!$A26)</f>
        <v>-23.990000000000002</v>
      </c>
      <c r="P26" s="69">
        <f t="shared" si="2"/>
        <v>-877.28</v>
      </c>
      <c r="Q26" s="70">
        <v>750</v>
      </c>
    </row>
    <row r="27" spans="1:17" x14ac:dyDescent="0.35">
      <c r="C27" s="68"/>
      <c r="D27" s="71">
        <f>SUMIFS('CASH BOOK 2017'!$K:$K,'CASH BOOK 2017'!$B:$B,'CASHFLOW 2017'!D$1,'CASH BOOK 2017'!$D:$D,'CASHFLOW 2017'!$A27)</f>
        <v>0</v>
      </c>
      <c r="E27" s="71">
        <f>SUMIFS('CASH BOOK 2017'!$K:$K,'CASH BOOK 2017'!$B:$B,'CASHFLOW 2017'!E$1,'CASH BOOK 2017'!$D:$D,'CASHFLOW 2017'!$A27)</f>
        <v>0</v>
      </c>
      <c r="F27" s="71">
        <f>SUMIFS('CASH BOOK 2017'!$K:$K,'CASH BOOK 2017'!$B:$B,'CASHFLOW 2017'!F$1,'CASH BOOK 2017'!$D:$D,'CASHFLOW 2017'!$A27)</f>
        <v>0</v>
      </c>
      <c r="G27" s="71">
        <f>SUMIFS('CASH BOOK 2017'!$K:$K,'CASH BOOK 2017'!$B:$B,'CASHFLOW 2017'!G$1,'CASH BOOK 2017'!$D:$D,'CASHFLOW 2017'!$A27)</f>
        <v>0</v>
      </c>
      <c r="H27" s="71">
        <f>SUMIFS('CASH BOOK 2017'!$K:$K,'CASH BOOK 2017'!$B:$B,'CASHFLOW 2017'!H$1,'CASH BOOK 2017'!$D:$D,'CASHFLOW 2017'!$A27)</f>
        <v>0</v>
      </c>
      <c r="I27" s="71">
        <f>SUMIFS('CASH BOOK 2017'!$K:$K,'CASH BOOK 2017'!$B:$B,'CASHFLOW 2017'!I$1,'CASH BOOK 2017'!$D:$D,'CASHFLOW 2017'!$A27)</f>
        <v>0</v>
      </c>
      <c r="J27" s="71">
        <f>SUMIFS('CASH BOOK 2017'!$K:$K,'CASH BOOK 2017'!$B:$B,'CASHFLOW 2017'!J$1,'CASH BOOK 2017'!$D:$D,'CASHFLOW 2017'!$A27)</f>
        <v>0</v>
      </c>
      <c r="K27" s="71">
        <f>SUMIFS('CASH BOOK 2017'!$K:$K,'CASH BOOK 2017'!$B:$B,'CASHFLOW 2017'!K$1,'CASH BOOK 2017'!$D:$D,'CASHFLOW 2017'!$A27)</f>
        <v>0</v>
      </c>
      <c r="L27" s="71">
        <f>SUMIFS('CASH BOOK 2017'!$K:$K,'CASH BOOK 2017'!$B:$B,'CASHFLOW 2017'!L$1,'CASH BOOK 2017'!$D:$D,'CASHFLOW 2017'!$A27)</f>
        <v>0</v>
      </c>
      <c r="M27" s="71">
        <f>SUMIFS('CASH BOOK 2017'!$K:$K,'CASH BOOK 2017'!$B:$B,'CASHFLOW 2017'!M$1,'CASH BOOK 2017'!$D:$D,'CASHFLOW 2017'!$A27)</f>
        <v>0</v>
      </c>
      <c r="N27" s="71">
        <f>SUMIFS('CASH BOOK 2017'!$K:$K,'CASH BOOK 2017'!$B:$B,'CASHFLOW 2017'!N$1,'CASH BOOK 2017'!$D:$D,'CASHFLOW 2017'!$A27)</f>
        <v>0</v>
      </c>
      <c r="O27" s="71">
        <f>SUMIFS('CASH BOOK 2017'!$K:$K,'CASH BOOK 2017'!$B:$B,'CASHFLOW 2017'!O$1,'CASH BOOK 2017'!$D:$D,'CASHFLOW 2017'!$A27)</f>
        <v>0</v>
      </c>
      <c r="P27" s="69">
        <f>SUM(D27:O27)</f>
        <v>0</v>
      </c>
      <c r="Q27" s="70">
        <v>750</v>
      </c>
    </row>
    <row r="28" spans="1:17" x14ac:dyDescent="0.35">
      <c r="C28" s="68"/>
      <c r="D28" s="71">
        <f>SUMIFS('CASH BOOK 2017'!$K:$K,'CASH BOOK 2017'!$B:$B,'CASHFLOW 2017'!D$1,'CASH BOOK 2017'!$D:$D,'CASHFLOW 2017'!$A28)</f>
        <v>0</v>
      </c>
      <c r="E28" s="71">
        <f>SUMIFS('CASH BOOK 2017'!$K:$K,'CASH BOOK 2017'!$B:$B,'CASHFLOW 2017'!E$1,'CASH BOOK 2017'!$D:$D,'CASHFLOW 2017'!$A28)</f>
        <v>0</v>
      </c>
      <c r="F28" s="71">
        <f>SUMIFS('CASH BOOK 2017'!$K:$K,'CASH BOOK 2017'!$B:$B,'CASHFLOW 2017'!F$1,'CASH BOOK 2017'!$D:$D,'CASHFLOW 2017'!$A28)</f>
        <v>0</v>
      </c>
      <c r="G28" s="71">
        <f>SUMIFS('CASH BOOK 2017'!$K:$K,'CASH BOOK 2017'!$B:$B,'CASHFLOW 2017'!G$1,'CASH BOOK 2017'!$D:$D,'CASHFLOW 2017'!$A28)</f>
        <v>0</v>
      </c>
      <c r="H28" s="71">
        <f>SUMIFS('CASH BOOK 2017'!$K:$K,'CASH BOOK 2017'!$B:$B,'CASHFLOW 2017'!H$1,'CASH BOOK 2017'!$D:$D,'CASHFLOW 2017'!$A28)</f>
        <v>0</v>
      </c>
      <c r="I28" s="71">
        <f>SUMIFS('CASH BOOK 2017'!$K:$K,'CASH BOOK 2017'!$B:$B,'CASHFLOW 2017'!I$1,'CASH BOOK 2017'!$D:$D,'CASHFLOW 2017'!$A28)</f>
        <v>0</v>
      </c>
      <c r="J28" s="71">
        <f>SUMIFS('CASH BOOK 2017'!$K:$K,'CASH BOOK 2017'!$B:$B,'CASHFLOW 2017'!J$1,'CASH BOOK 2017'!$D:$D,'CASHFLOW 2017'!$A28)</f>
        <v>0</v>
      </c>
      <c r="K28" s="71">
        <f>SUMIFS('CASH BOOK 2017'!$K:$K,'CASH BOOK 2017'!$B:$B,'CASHFLOW 2017'!K$1,'CASH BOOK 2017'!$D:$D,'CASHFLOW 2017'!$A28)</f>
        <v>0</v>
      </c>
      <c r="L28" s="71">
        <f>SUMIFS('CASH BOOK 2017'!$K:$K,'CASH BOOK 2017'!$B:$B,'CASHFLOW 2017'!L$1,'CASH BOOK 2017'!$D:$D,'CASHFLOW 2017'!$A28)</f>
        <v>0</v>
      </c>
      <c r="M28" s="71">
        <f>SUMIFS('CASH BOOK 2017'!$K:$K,'CASH BOOK 2017'!$B:$B,'CASHFLOW 2017'!M$1,'CASH BOOK 2017'!$D:$D,'CASHFLOW 2017'!$A28)</f>
        <v>0</v>
      </c>
      <c r="N28" s="71">
        <f>SUMIFS('CASH BOOK 2017'!$K:$K,'CASH BOOK 2017'!$B:$B,'CASHFLOW 2017'!N$1,'CASH BOOK 2017'!$D:$D,'CASHFLOW 2017'!$A28)</f>
        <v>0</v>
      </c>
      <c r="O28" s="71">
        <f>SUMIFS('CASH BOOK 2017'!$K:$K,'CASH BOOK 2017'!$B:$B,'CASHFLOW 2017'!O$1,'CASH BOOK 2017'!$D:$D,'CASHFLOW 2017'!$A28)</f>
        <v>0</v>
      </c>
      <c r="P28" s="69">
        <f t="shared" si="2"/>
        <v>0</v>
      </c>
      <c r="Q28" s="70">
        <v>0</v>
      </c>
    </row>
    <row r="29" spans="1:17" x14ac:dyDescent="0.35">
      <c r="C29" s="68"/>
      <c r="D29" s="72">
        <f>SUM(D14:D28)</f>
        <v>-936.5</v>
      </c>
      <c r="E29" s="72">
        <f>SUM(E14:E28)</f>
        <v>-4654.4299999999994</v>
      </c>
      <c r="F29" s="72">
        <f>SUM(F14:F28)</f>
        <v>-626.8900000000001</v>
      </c>
      <c r="G29" s="72">
        <f>SUM(G14:G28)</f>
        <v>-634.65000000000009</v>
      </c>
      <c r="H29" s="72">
        <f>SUM(H14:H28)</f>
        <v>-2537.5300000000002</v>
      </c>
      <c r="I29" s="72">
        <f t="shared" ref="I29:O29" si="3">SUM(I14:I28)</f>
        <v>-879.8599999999999</v>
      </c>
      <c r="J29" s="72">
        <f t="shared" si="3"/>
        <v>-7105.6900000000005</v>
      </c>
      <c r="K29" s="72">
        <f t="shared" si="3"/>
        <v>-6125.9100000000008</v>
      </c>
      <c r="L29" s="72">
        <f t="shared" si="3"/>
        <v>-16320.039999999999</v>
      </c>
      <c r="M29" s="72">
        <f t="shared" si="3"/>
        <v>-672.45</v>
      </c>
      <c r="N29" s="72">
        <f t="shared" si="3"/>
        <v>-3623.49</v>
      </c>
      <c r="O29" s="72">
        <f t="shared" si="3"/>
        <v>-810.87</v>
      </c>
      <c r="P29" s="72">
        <f>SUM(P14:P28)</f>
        <v>-44928.31</v>
      </c>
      <c r="Q29" s="73">
        <f>SUM(Q14:Q28)</f>
        <v>20198</v>
      </c>
    </row>
    <row r="30" spans="1:17" x14ac:dyDescent="0.3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1:17" s="80" customFormat="1" x14ac:dyDescent="0.35">
      <c r="A31" s="80" t="s">
        <v>507</v>
      </c>
      <c r="C31" s="81"/>
      <c r="D31" s="81">
        <f>D12+D29</f>
        <v>7079.4000000000005</v>
      </c>
      <c r="E31" s="81">
        <f t="shared" ref="E31:P31" si="4">E12+E29</f>
        <v>-2877.8999999999996</v>
      </c>
      <c r="F31" s="81">
        <f t="shared" si="4"/>
        <v>-278.8900000000001</v>
      </c>
      <c r="G31" s="81">
        <f>G12+G29</f>
        <v>3292.65</v>
      </c>
      <c r="H31" s="81">
        <f t="shared" si="4"/>
        <v>7137.9699999999993</v>
      </c>
      <c r="I31" s="81">
        <f t="shared" si="4"/>
        <v>-43.3599999999999</v>
      </c>
      <c r="J31" s="81">
        <f t="shared" si="4"/>
        <v>-6684.1900000000005</v>
      </c>
      <c r="K31" s="81">
        <f t="shared" si="4"/>
        <v>-5110.0100000000011</v>
      </c>
      <c r="L31" s="81">
        <f t="shared" si="4"/>
        <v>-11653.939999999999</v>
      </c>
      <c r="M31" s="81">
        <f t="shared" si="4"/>
        <v>13317.47</v>
      </c>
      <c r="N31" s="81">
        <f t="shared" si="4"/>
        <v>-2870.62</v>
      </c>
      <c r="O31" s="81">
        <f t="shared" si="4"/>
        <v>-494.46000000000004</v>
      </c>
      <c r="P31" s="81">
        <f t="shared" si="4"/>
        <v>814.12000000000262</v>
      </c>
      <c r="Q31" s="82"/>
    </row>
    <row r="32" spans="1:17" x14ac:dyDescent="0.3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1:19" ht="13.5" thickBot="1" x14ac:dyDescent="0.4"/>
    <row r="34" spans="1:19" ht="13.5" thickTop="1" x14ac:dyDescent="0.35">
      <c r="A34" s="9" t="s">
        <v>499</v>
      </c>
      <c r="C34" s="68"/>
      <c r="D34" s="71">
        <f>SUMIFS('CASH BOOK 2017'!$K:$K,'CASH BOOK 2017'!$B:$B,'CASHFLOW 2017'!D$1,'CASH BOOK 2017'!$D:$D,'CASHFLOW 2017'!$A34)</f>
        <v>280</v>
      </c>
      <c r="E34" s="71">
        <f>SUMIFS('CASH BOOK 2017'!$K:$K,'CASH BOOK 2017'!$B:$B,'CASHFLOW 2017'!E$1,'CASH BOOK 2017'!$D:$D,'CASHFLOW 2017'!$A34)</f>
        <v>125</v>
      </c>
      <c r="F34" s="71">
        <f>SUMIFS('CASH BOOK 2017'!$K:$K,'CASH BOOK 2017'!$B:$B,'CASHFLOW 2017'!F$1,'CASH BOOK 2017'!$D:$D,'CASHFLOW 2017'!$A34)</f>
        <v>50</v>
      </c>
      <c r="G34" s="71">
        <f>SUMIFS('CASH BOOK 2017'!$K:$K,'CASH BOOK 2017'!$B:$B,'CASHFLOW 2017'!G$1,'CASH BOOK 2017'!$D:$D,'CASHFLOW 2017'!$A34)</f>
        <v>0</v>
      </c>
      <c r="H34" s="71">
        <f>SUMIFS('CASH BOOK 2017'!$K:$K,'CASH BOOK 2017'!$B:$B,'CASHFLOW 2017'!H$1,'CASH BOOK 2017'!$D:$D,'CASHFLOW 2017'!$A34)</f>
        <v>258</v>
      </c>
      <c r="I34" s="71">
        <f>SUMIFS('CASH BOOK 2017'!$K:$K,'CASH BOOK 2017'!$B:$B,'CASHFLOW 2017'!I$1,'CASH BOOK 2017'!$D:$D,'CASHFLOW 2017'!$A34)</f>
        <v>125</v>
      </c>
      <c r="J34" s="71">
        <f>SUMIFS('CASH BOOK 2017'!$K:$K,'CASH BOOK 2017'!$B:$B,'CASHFLOW 2017'!J$1,'CASH BOOK 2017'!$D:$D,'CASHFLOW 2017'!$A34)</f>
        <v>50</v>
      </c>
      <c r="K34" s="71">
        <f>SUMIFS('CASH BOOK 2017'!$K:$K,'CASH BOOK 2017'!$B:$B,'CASHFLOW 2017'!K$1,'CASH BOOK 2017'!$D:$D,'CASHFLOW 2017'!$A34)</f>
        <v>150</v>
      </c>
      <c r="L34" s="71">
        <f>SUMIFS('CASH BOOK 2017'!$K:$K,'CASH BOOK 2017'!$B:$B,'CASHFLOW 2017'!L$1,'CASH BOOK 2017'!$D:$D,'CASHFLOW 2017'!$A34)</f>
        <v>50</v>
      </c>
      <c r="M34" s="71">
        <f>SUMIFS('CASH BOOK 2017'!$K:$K,'CASH BOOK 2017'!$B:$B,'CASHFLOW 2017'!M$1,'CASH BOOK 2017'!$D:$D,'CASHFLOW 2017'!$A34)</f>
        <v>200</v>
      </c>
      <c r="N34" s="71">
        <f>SUMIFS('CASH BOOK 2017'!$K:$K,'CASH BOOK 2017'!$B:$B,'CASHFLOW 2017'!N$1,'CASH BOOK 2017'!$D:$D,'CASHFLOW 2017'!$A34)</f>
        <v>150</v>
      </c>
      <c r="O34" s="71">
        <f>SUMIFS('CASH BOOK 2017'!$K:$K,'CASH BOOK 2017'!$B:$B,'CASHFLOW 2017'!O$1,'CASH BOOK 2017'!$D:$D,'CASHFLOW 2017'!$A34)</f>
        <v>200</v>
      </c>
      <c r="P34" s="69">
        <f>SUM(D34:O34)</f>
        <v>1638</v>
      </c>
      <c r="Q34" s="70"/>
      <c r="R34" s="93" t="s">
        <v>522</v>
      </c>
      <c r="S34" s="94"/>
    </row>
    <row r="35" spans="1:19" x14ac:dyDescent="0.35">
      <c r="A35" s="9" t="s">
        <v>504</v>
      </c>
      <c r="C35" s="68"/>
      <c r="D35" s="71">
        <f>SUMIFS('CASH BOOK 2017'!$K:$K,'CASH BOOK 2017'!$B:$B,'CASHFLOW 2017'!D$1,'CASH BOOK 2017'!$D:$D,'CASHFLOW 2017'!$A35)</f>
        <v>0</v>
      </c>
      <c r="E35" s="71">
        <f>SUMIFS('CASH BOOK 2017'!$K:$K,'CASH BOOK 2017'!$B:$B,'CASHFLOW 2017'!E$1,'CASH BOOK 2017'!$D:$D,'CASHFLOW 2017'!$A35)</f>
        <v>-225</v>
      </c>
      <c r="F35" s="71">
        <f>SUMIFS('CASH BOOK 2017'!$K:$K,'CASH BOOK 2017'!$B:$B,'CASHFLOW 2017'!F$1,'CASH BOOK 2017'!$D:$D,'CASHFLOW 2017'!$A35)</f>
        <v>-50</v>
      </c>
      <c r="G35" s="71">
        <f>SUMIFS('CASH BOOK 2017'!$K:$K,'CASH BOOK 2017'!$B:$B,'CASHFLOW 2017'!G$1,'CASH BOOK 2017'!$D:$D,'CASHFLOW 2017'!$A35)</f>
        <v>-100</v>
      </c>
      <c r="H35" s="71">
        <f>SUMIFS('CASH BOOK 2017'!$K:$K,'CASH BOOK 2017'!$B:$B,'CASHFLOW 2017'!H$1,'CASH BOOK 2017'!$D:$D,'CASHFLOW 2017'!$A35)</f>
        <v>-50</v>
      </c>
      <c r="I35" s="71">
        <f>SUMIFS('CASH BOOK 2017'!$K:$K,'CASH BOOK 2017'!$B:$B,'CASHFLOW 2017'!I$1,'CASH BOOK 2017'!$D:$D,'CASHFLOW 2017'!$A35)</f>
        <v>-258</v>
      </c>
      <c r="J35" s="71">
        <f>SUMIFS('CASH BOOK 2017'!$K:$K,'CASH BOOK 2017'!$B:$B,'CASHFLOW 2017'!J$1,'CASH BOOK 2017'!$D:$D,'CASHFLOW 2017'!$A35)</f>
        <v>-125</v>
      </c>
      <c r="K35" s="71">
        <f>SUMIFS('CASH BOOK 2017'!$K:$K,'CASH BOOK 2017'!$B:$B,'CASHFLOW 2017'!K$1,'CASH BOOK 2017'!$D:$D,'CASHFLOW 2017'!$A35)</f>
        <v>-150</v>
      </c>
      <c r="L35" s="71">
        <f>SUMIFS('CASH BOOK 2017'!$K:$K,'CASH BOOK 2017'!$B:$B,'CASHFLOW 2017'!L$1,'CASH BOOK 2017'!$D:$D,'CASHFLOW 2017'!$A35)</f>
        <v>-50</v>
      </c>
      <c r="M35" s="71">
        <f>SUMIFS('CASH BOOK 2017'!$K:$K,'CASH BOOK 2017'!$B:$B,'CASHFLOW 2017'!M$1,'CASH BOOK 2017'!$D:$D,'CASHFLOW 2017'!$A35)</f>
        <v>-100</v>
      </c>
      <c r="N35" s="71">
        <f>SUMIFS('CASH BOOK 2017'!$K:$K,'CASH BOOK 2017'!$B:$B,'CASHFLOW 2017'!N$1,'CASH BOOK 2017'!$D:$D,'CASHFLOW 2017'!$A35)</f>
        <v>-100</v>
      </c>
      <c r="O35" s="71">
        <f>SUMIFS('CASH BOOK 2017'!$K:$K,'CASH BOOK 2017'!$B:$B,'CASHFLOW 2017'!O$1,'CASH BOOK 2017'!$D:$D,'CASHFLOW 2017'!$A35)</f>
        <v>-150</v>
      </c>
      <c r="P35" s="69">
        <f>SUM(D35:O35)</f>
        <v>-1358</v>
      </c>
      <c r="Q35" s="70"/>
      <c r="R35" s="95"/>
      <c r="S35" s="96"/>
    </row>
    <row r="36" spans="1:19" s="80" customFormat="1" ht="13.5" thickBot="1" x14ac:dyDescent="0.4">
      <c r="A36" s="80" t="s">
        <v>506</v>
      </c>
      <c r="C36" s="90">
        <f>'ACCOUNTS 21'!C52</f>
        <v>0</v>
      </c>
      <c r="D36" s="90">
        <f>SUM(D34:D35)</f>
        <v>280</v>
      </c>
      <c r="E36" s="90">
        <f t="shared" ref="E36:P36" si="5">SUM(E34:E35)</f>
        <v>-100</v>
      </c>
      <c r="F36" s="90">
        <f t="shared" si="5"/>
        <v>0</v>
      </c>
      <c r="G36" s="90">
        <f t="shared" si="5"/>
        <v>-100</v>
      </c>
      <c r="H36" s="90">
        <f t="shared" si="5"/>
        <v>208</v>
      </c>
      <c r="I36" s="90">
        <f t="shared" si="5"/>
        <v>-133</v>
      </c>
      <c r="J36" s="90">
        <f t="shared" si="5"/>
        <v>-75</v>
      </c>
      <c r="K36" s="90">
        <f t="shared" si="5"/>
        <v>0</v>
      </c>
      <c r="L36" s="90">
        <f t="shared" si="5"/>
        <v>0</v>
      </c>
      <c r="M36" s="90">
        <f t="shared" si="5"/>
        <v>100</v>
      </c>
      <c r="N36" s="90">
        <f t="shared" si="5"/>
        <v>50</v>
      </c>
      <c r="O36" s="90">
        <f t="shared" si="5"/>
        <v>50</v>
      </c>
      <c r="P36" s="90">
        <f t="shared" si="5"/>
        <v>280</v>
      </c>
      <c r="Q36" s="91"/>
      <c r="R36" s="97">
        <f>C36+P36</f>
        <v>280</v>
      </c>
      <c r="S36" s="98"/>
    </row>
    <row r="37" spans="1:19" ht="13.5" thickTop="1" x14ac:dyDescent="0.3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1:19" s="80" customFormat="1" x14ac:dyDescent="0.35">
      <c r="A38" s="80" t="s">
        <v>508</v>
      </c>
      <c r="C38" s="81">
        <f>'ACCOUNTS 21'!C46</f>
        <v>14779.4</v>
      </c>
      <c r="D38" s="84">
        <f t="shared" ref="D38:O38" si="6">C38+D31+D36</f>
        <v>22138.799999999999</v>
      </c>
      <c r="E38" s="84">
        <f t="shared" si="6"/>
        <v>19160.900000000001</v>
      </c>
      <c r="F38" s="84">
        <f t="shared" si="6"/>
        <v>18882.010000000002</v>
      </c>
      <c r="G38" s="84">
        <f t="shared" si="6"/>
        <v>22074.660000000003</v>
      </c>
      <c r="H38" s="84">
        <f t="shared" si="6"/>
        <v>29420.630000000005</v>
      </c>
      <c r="I38" s="84">
        <f t="shared" si="6"/>
        <v>29244.270000000004</v>
      </c>
      <c r="J38" s="84">
        <f t="shared" si="6"/>
        <v>22485.08</v>
      </c>
      <c r="K38" s="84">
        <f t="shared" si="6"/>
        <v>17375.07</v>
      </c>
      <c r="L38" s="84">
        <f t="shared" si="6"/>
        <v>5721.130000000001</v>
      </c>
      <c r="M38" s="84">
        <f t="shared" si="6"/>
        <v>19138.599999999999</v>
      </c>
      <c r="N38" s="84">
        <f t="shared" si="6"/>
        <v>16317.98</v>
      </c>
      <c r="O38" s="84">
        <f t="shared" si="6"/>
        <v>15873.52</v>
      </c>
      <c r="P38" s="84"/>
      <c r="Q38" s="118"/>
    </row>
    <row r="39" spans="1:19" s="80" customFormat="1" x14ac:dyDescent="0.35">
      <c r="C39" s="81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2"/>
    </row>
    <row r="40" spans="1:19" x14ac:dyDescent="0.35">
      <c r="A40" s="9" t="s">
        <v>505</v>
      </c>
      <c r="C40" s="68"/>
      <c r="D40" s="71">
        <f>SUMIFS('CASH BOOK 2017'!$K:$K,'CASH BOOK 2017'!$B:$B,'CASHFLOW 2017'!D$1,'CASH BOOK 2017'!$D:$D,'CASHFLOW 2017'!$A40)</f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9">
        <f>SUM(D40:O40)</f>
        <v>0</v>
      </c>
      <c r="Q40" s="70">
        <v>0</v>
      </c>
    </row>
    <row r="41" spans="1:19" x14ac:dyDescent="0.35">
      <c r="A41" s="9" t="s">
        <v>39</v>
      </c>
      <c r="C41" s="68"/>
      <c r="D41" s="71">
        <f>SUMIFS('CASH BOOK 2017'!$K:$K,'CASH BOOK 2017'!$B:$B,'CASHFLOW 2017'!D$1,'CASH BOOK 2017'!$D:$D,'CASHFLOW 2017'!$A41)</f>
        <v>0</v>
      </c>
      <c r="E41" s="68"/>
      <c r="F41" s="68">
        <v>44.05</v>
      </c>
      <c r="G41" s="68"/>
      <c r="H41" s="68"/>
      <c r="I41" s="68">
        <v>36.200000000000003</v>
      </c>
      <c r="J41" s="68"/>
      <c r="K41" s="68"/>
      <c r="L41" s="68">
        <v>36.71</v>
      </c>
      <c r="M41" s="68"/>
      <c r="N41" s="68"/>
      <c r="O41" s="68">
        <v>36.82</v>
      </c>
      <c r="P41" s="69">
        <f>SUM(D41:O41)</f>
        <v>153.78</v>
      </c>
      <c r="Q41" s="70">
        <v>300</v>
      </c>
    </row>
    <row r="42" spans="1:19" s="80" customFormat="1" x14ac:dyDescent="0.35">
      <c r="A42" s="79" t="s">
        <v>509</v>
      </c>
      <c r="B42" s="79"/>
      <c r="C42" s="83"/>
      <c r="D42" s="83">
        <f t="shared" ref="D42:P42" si="7">SUM(D40:D41)</f>
        <v>0</v>
      </c>
      <c r="E42" s="83">
        <f t="shared" si="7"/>
        <v>0</v>
      </c>
      <c r="F42" s="83">
        <f t="shared" si="7"/>
        <v>44.05</v>
      </c>
      <c r="G42" s="83">
        <f t="shared" si="7"/>
        <v>0</v>
      </c>
      <c r="H42" s="83">
        <f t="shared" si="7"/>
        <v>0</v>
      </c>
      <c r="I42" s="83">
        <f t="shared" si="7"/>
        <v>36.200000000000003</v>
      </c>
      <c r="J42" s="83">
        <f t="shared" si="7"/>
        <v>0</v>
      </c>
      <c r="K42" s="83">
        <f t="shared" si="7"/>
        <v>0</v>
      </c>
      <c r="L42" s="83">
        <f t="shared" si="7"/>
        <v>36.71</v>
      </c>
      <c r="M42" s="83">
        <f t="shared" si="7"/>
        <v>0</v>
      </c>
      <c r="N42" s="83">
        <f t="shared" si="7"/>
        <v>0</v>
      </c>
      <c r="O42" s="83">
        <f t="shared" si="7"/>
        <v>36.82</v>
      </c>
      <c r="P42" s="83">
        <f t="shared" si="7"/>
        <v>153.78</v>
      </c>
      <c r="Q42" s="82"/>
    </row>
    <row r="44" spans="1:19" x14ac:dyDescent="0.35">
      <c r="A44" s="9" t="s">
        <v>15</v>
      </c>
      <c r="C44" s="68">
        <f>'ACCOUNTS 21'!C48</f>
        <v>11664.06</v>
      </c>
      <c r="D44" s="71">
        <f>C44+D42</f>
        <v>11664.06</v>
      </c>
      <c r="E44" s="71">
        <f t="shared" ref="E44:O44" si="8">D44+E42</f>
        <v>11664.06</v>
      </c>
      <c r="F44" s="71">
        <f t="shared" si="8"/>
        <v>11708.109999999999</v>
      </c>
      <c r="G44" s="71">
        <f>F44+G42</f>
        <v>11708.109999999999</v>
      </c>
      <c r="H44" s="71">
        <f t="shared" si="8"/>
        <v>11708.109999999999</v>
      </c>
      <c r="I44" s="71">
        <f t="shared" si="8"/>
        <v>11744.31</v>
      </c>
      <c r="J44" s="71">
        <f t="shared" si="8"/>
        <v>11744.31</v>
      </c>
      <c r="K44" s="71">
        <f t="shared" si="8"/>
        <v>11744.31</v>
      </c>
      <c r="L44" s="71">
        <f t="shared" si="8"/>
        <v>11781.019999999999</v>
      </c>
      <c r="M44" s="71">
        <f t="shared" si="8"/>
        <v>11781.019999999999</v>
      </c>
      <c r="N44" s="71">
        <f t="shared" si="8"/>
        <v>11781.019999999999</v>
      </c>
      <c r="O44" s="71">
        <f t="shared" si="8"/>
        <v>11817.839999999998</v>
      </c>
      <c r="P44" s="71"/>
      <c r="Q44" s="70"/>
    </row>
    <row r="46" spans="1:19" s="85" customFormat="1" x14ac:dyDescent="0.35">
      <c r="A46" s="85" t="s">
        <v>510</v>
      </c>
      <c r="C46" s="86"/>
      <c r="D46" s="8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8"/>
      <c r="Q46" s="89"/>
    </row>
    <row r="47" spans="1:19" s="85" customFormat="1" x14ac:dyDescent="0.35">
      <c r="A47" s="85" t="s">
        <v>511</v>
      </c>
      <c r="C47" s="86"/>
      <c r="D47" s="8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8"/>
      <c r="Q47" s="89"/>
    </row>
    <row r="48" spans="1:19" x14ac:dyDescent="0.3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70"/>
    </row>
    <row r="49" spans="3:17" x14ac:dyDescent="0.35">
      <c r="C49" s="6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0"/>
    </row>
    <row r="50" spans="3:17" x14ac:dyDescent="0.3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0"/>
    </row>
    <row r="51" spans="3:17" x14ac:dyDescent="0.3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3:17" x14ac:dyDescent="0.3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70"/>
    </row>
    <row r="53" spans="3:17" x14ac:dyDescent="0.3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8" orientation="landscape"/>
  <headerFooter alignWithMargins="0">
    <oddHeader>&amp;L&amp;"Arial,Bold"Year ended 31 December 2017
&amp;C&amp;"Trebuchet MS,Bold"WILLASTON MEMORIAL HALL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378"/>
  <sheetViews>
    <sheetView showGridLines="0" workbookViewId="0">
      <pane ySplit="1" topLeftCell="A309" activePane="bottomLeft" state="frozen"/>
      <selection activeCell="B37" sqref="B37"/>
      <selection pane="bottomLeft" activeCell="C333" sqref="C333"/>
    </sheetView>
  </sheetViews>
  <sheetFormatPr defaultColWidth="8.7265625" defaultRowHeight="13" outlineLevelCol="1" x14ac:dyDescent="0.3"/>
  <cols>
    <col min="1" max="1" width="9.1796875" style="39" customWidth="1"/>
    <col min="2" max="2" width="9.1796875" style="106" customWidth="1"/>
    <col min="3" max="3" width="19.453125" style="15" customWidth="1"/>
    <col min="4" max="4" width="19.453125" style="114" customWidth="1"/>
    <col min="5" max="5" width="17.36328125" style="13" customWidth="1" outlineLevel="1"/>
    <col min="6" max="6" width="2.1796875" style="15" customWidth="1"/>
    <col min="7" max="7" width="9.81640625" style="13" customWidth="1"/>
    <col min="8" max="8" width="11.1796875" style="43" bestFit="1" customWidth="1"/>
    <col min="9" max="9" width="16.1796875" style="43" hidden="1" customWidth="1" outlineLevel="1"/>
    <col min="10" max="10" width="10.54296875" style="43" bestFit="1" customWidth="1" collapsed="1"/>
    <col min="11" max="11" width="11.36328125" style="43" customWidth="1"/>
    <col min="12" max="12" width="10.08984375" style="43" bestFit="1" customWidth="1"/>
    <col min="13" max="13" width="10.81640625" style="18" customWidth="1"/>
    <col min="14" max="14" width="8.7265625" style="15"/>
    <col min="15" max="15" width="8.7265625" style="16" customWidth="1"/>
    <col min="16" max="16" width="8.7265625" style="15"/>
    <col min="17" max="17" width="8.453125" style="11" customWidth="1"/>
    <col min="18" max="18" width="8.7265625" style="15"/>
    <col min="19" max="19" width="10.08984375" style="15" bestFit="1" customWidth="1"/>
    <col min="20" max="16384" width="8.7265625" style="15"/>
  </cols>
  <sheetData>
    <row r="1" spans="1:17" x14ac:dyDescent="0.3">
      <c r="A1" s="12"/>
      <c r="B1" s="105"/>
      <c r="C1" s="5" t="s">
        <v>41</v>
      </c>
      <c r="D1" s="111"/>
      <c r="E1" s="2"/>
      <c r="G1" s="2" t="s">
        <v>42</v>
      </c>
      <c r="H1" s="41" t="s">
        <v>43</v>
      </c>
      <c r="I1" s="41" t="s">
        <v>494</v>
      </c>
      <c r="J1" s="41" t="s">
        <v>44</v>
      </c>
      <c r="K1" s="41" t="s">
        <v>493</v>
      </c>
      <c r="L1" s="41" t="s">
        <v>45</v>
      </c>
      <c r="M1" s="44" t="s">
        <v>46</v>
      </c>
      <c r="O1" s="16" t="s">
        <v>47</v>
      </c>
    </row>
    <row r="2" spans="1:17" x14ac:dyDescent="0.3">
      <c r="C2" s="5"/>
      <c r="D2" s="111"/>
      <c r="E2" s="12" t="s">
        <v>114</v>
      </c>
      <c r="G2" s="2"/>
      <c r="H2" s="41"/>
      <c r="I2" s="41"/>
      <c r="J2" s="41"/>
      <c r="K2" s="41"/>
      <c r="L2" s="41"/>
      <c r="M2" s="44"/>
    </row>
    <row r="3" spans="1:17" x14ac:dyDescent="0.3">
      <c r="A3" s="12"/>
      <c r="B3" s="105"/>
      <c r="C3" s="5"/>
      <c r="D3" s="111"/>
      <c r="E3" s="2"/>
      <c r="G3" s="2"/>
      <c r="H3" s="41"/>
      <c r="I3" s="41"/>
      <c r="J3" s="41"/>
      <c r="K3" s="41"/>
      <c r="L3" s="41"/>
      <c r="M3" s="44"/>
    </row>
    <row r="4" spans="1:17" x14ac:dyDescent="0.3">
      <c r="A4" s="28"/>
      <c r="B4" s="105"/>
      <c r="C4" s="5" t="s">
        <v>112</v>
      </c>
      <c r="D4" s="111"/>
      <c r="E4" s="31"/>
      <c r="G4" s="2"/>
      <c r="H4" s="41"/>
      <c r="I4" s="41"/>
      <c r="J4" s="41"/>
      <c r="K4" s="41"/>
      <c r="L4" s="41"/>
      <c r="M4" s="44"/>
    </row>
    <row r="5" spans="1:17" x14ac:dyDescent="0.3">
      <c r="A5" s="28"/>
      <c r="B5" s="105"/>
      <c r="C5" s="5" t="s">
        <v>113</v>
      </c>
      <c r="D5" s="111"/>
      <c r="E5" s="32"/>
      <c r="G5" s="2"/>
      <c r="H5" s="41"/>
      <c r="I5" s="41"/>
      <c r="J5" s="41"/>
      <c r="K5" s="78" t="s">
        <v>503</v>
      </c>
      <c r="L5" s="75">
        <f>'ACCOUNTS 21'!C46</f>
        <v>14779.4</v>
      </c>
      <c r="M5" s="44"/>
    </row>
    <row r="6" spans="1:17" x14ac:dyDescent="0.3">
      <c r="A6" s="12"/>
      <c r="B6" s="105"/>
      <c r="C6" s="11"/>
      <c r="D6" s="112"/>
      <c r="F6" s="11"/>
      <c r="O6" s="16">
        <v>-61.3</v>
      </c>
    </row>
    <row r="7" spans="1:17" s="23" customFormat="1" x14ac:dyDescent="0.3">
      <c r="A7" s="28" t="s">
        <v>495</v>
      </c>
      <c r="B7" s="107" t="s">
        <v>496</v>
      </c>
      <c r="C7" s="74" t="s">
        <v>497</v>
      </c>
      <c r="D7" s="113" t="s">
        <v>498</v>
      </c>
      <c r="E7" s="22"/>
      <c r="F7" s="74"/>
      <c r="G7" s="22"/>
      <c r="H7" s="75" t="s">
        <v>502</v>
      </c>
      <c r="I7" s="75" t="s">
        <v>501</v>
      </c>
      <c r="J7" s="75" t="s">
        <v>56</v>
      </c>
      <c r="K7" s="75" t="s">
        <v>493</v>
      </c>
      <c r="L7" s="75"/>
      <c r="M7" s="76"/>
      <c r="O7" s="77"/>
      <c r="Q7" s="74"/>
    </row>
    <row r="8" spans="1:17" x14ac:dyDescent="0.3">
      <c r="A8" s="12" t="s">
        <v>115</v>
      </c>
      <c r="B8" s="105" t="s">
        <v>482</v>
      </c>
      <c r="C8" s="11" t="s">
        <v>116</v>
      </c>
      <c r="D8" s="132" t="s">
        <v>622</v>
      </c>
      <c r="E8" s="13" t="s">
        <v>117</v>
      </c>
      <c r="F8" s="11"/>
      <c r="H8" s="45">
        <v>30</v>
      </c>
      <c r="J8" s="43">
        <v>0</v>
      </c>
      <c r="K8" s="43">
        <f>H8+J8</f>
        <v>30</v>
      </c>
      <c r="L8" s="43">
        <f>L5+K8</f>
        <v>14809.4</v>
      </c>
      <c r="N8" s="18" t="s">
        <v>155</v>
      </c>
      <c r="O8" s="16">
        <v>236</v>
      </c>
      <c r="P8" s="15">
        <v>1</v>
      </c>
    </row>
    <row r="9" spans="1:17" x14ac:dyDescent="0.3">
      <c r="A9" s="12"/>
      <c r="B9" s="105" t="s">
        <v>482</v>
      </c>
      <c r="C9" s="238" t="s">
        <v>118</v>
      </c>
      <c r="D9" s="112" t="s">
        <v>37</v>
      </c>
      <c r="E9" s="13" t="s">
        <v>119</v>
      </c>
      <c r="F9" s="11"/>
      <c r="H9" s="45">
        <v>34</v>
      </c>
      <c r="J9" s="43">
        <v>0</v>
      </c>
      <c r="K9" s="43">
        <f t="shared" ref="K9:K72" si="0">H9+J9</f>
        <v>34</v>
      </c>
      <c r="L9" s="43">
        <f t="shared" ref="L9:L71" si="1">L8+K9</f>
        <v>14843.4</v>
      </c>
      <c r="M9" s="16"/>
    </row>
    <row r="10" spans="1:17" x14ac:dyDescent="0.3">
      <c r="A10" s="12"/>
      <c r="B10" s="105" t="s">
        <v>482</v>
      </c>
      <c r="C10" s="11" t="s">
        <v>120</v>
      </c>
      <c r="D10" s="112" t="s">
        <v>36</v>
      </c>
      <c r="E10" s="13" t="s">
        <v>133</v>
      </c>
      <c r="F10" s="11"/>
      <c r="H10" s="46">
        <v>952</v>
      </c>
      <c r="J10" s="43">
        <v>0</v>
      </c>
      <c r="K10" s="43">
        <f t="shared" si="0"/>
        <v>952</v>
      </c>
      <c r="L10" s="43">
        <f t="shared" si="1"/>
        <v>15795.4</v>
      </c>
    </row>
    <row r="11" spans="1:17" x14ac:dyDescent="0.3">
      <c r="A11" s="12"/>
      <c r="B11" s="105" t="s">
        <v>482</v>
      </c>
      <c r="C11" s="11" t="s">
        <v>121</v>
      </c>
      <c r="D11" s="112" t="s">
        <v>37</v>
      </c>
      <c r="E11" s="13" t="s">
        <v>119</v>
      </c>
      <c r="F11" s="11"/>
      <c r="H11" s="45">
        <v>58</v>
      </c>
      <c r="J11" s="43">
        <v>0</v>
      </c>
      <c r="K11" s="43">
        <f t="shared" si="0"/>
        <v>58</v>
      </c>
      <c r="L11" s="43">
        <f t="shared" si="1"/>
        <v>15853.4</v>
      </c>
    </row>
    <row r="12" spans="1:17" x14ac:dyDescent="0.3">
      <c r="A12" s="12"/>
      <c r="B12" s="105" t="s">
        <v>482</v>
      </c>
      <c r="C12" s="11" t="s">
        <v>122</v>
      </c>
      <c r="D12" s="112" t="s">
        <v>37</v>
      </c>
      <c r="E12" s="13" t="s">
        <v>123</v>
      </c>
      <c r="F12" s="11"/>
      <c r="H12" s="45">
        <v>24</v>
      </c>
      <c r="J12" s="43">
        <v>0</v>
      </c>
      <c r="K12" s="43">
        <f t="shared" si="0"/>
        <v>24</v>
      </c>
      <c r="L12" s="43">
        <f t="shared" si="1"/>
        <v>15877.4</v>
      </c>
    </row>
    <row r="13" spans="1:17" x14ac:dyDescent="0.3">
      <c r="A13" s="12"/>
      <c r="B13" s="105" t="s">
        <v>482</v>
      </c>
      <c r="C13" s="11" t="s">
        <v>122</v>
      </c>
      <c r="D13" s="112" t="s">
        <v>499</v>
      </c>
      <c r="E13" s="47" t="s">
        <v>124</v>
      </c>
      <c r="F13" s="11"/>
      <c r="G13" s="48" t="s">
        <v>324</v>
      </c>
      <c r="H13" s="49">
        <v>30</v>
      </c>
      <c r="I13" s="43">
        <f>SUM(H8:H13)</f>
        <v>1128</v>
      </c>
      <c r="J13" s="43">
        <v>0</v>
      </c>
      <c r="K13" s="43">
        <f t="shared" si="0"/>
        <v>30</v>
      </c>
      <c r="L13" s="43">
        <f t="shared" si="1"/>
        <v>15907.4</v>
      </c>
      <c r="M13" s="18" t="s">
        <v>90</v>
      </c>
    </row>
    <row r="14" spans="1:17" x14ac:dyDescent="0.3">
      <c r="A14" s="12" t="s">
        <v>125</v>
      </c>
      <c r="B14" s="105" t="s">
        <v>482</v>
      </c>
      <c r="C14" s="11" t="s">
        <v>126</v>
      </c>
      <c r="D14" s="112" t="s">
        <v>36</v>
      </c>
      <c r="E14" s="13" t="s">
        <v>132</v>
      </c>
      <c r="F14" s="11"/>
      <c r="H14" s="46">
        <v>268.8</v>
      </c>
      <c r="J14" s="43">
        <v>0</v>
      </c>
      <c r="K14" s="43">
        <f t="shared" si="0"/>
        <v>268.8</v>
      </c>
      <c r="L14" s="43">
        <f t="shared" si="1"/>
        <v>16176.199999999999</v>
      </c>
      <c r="M14" s="18" t="s">
        <v>90</v>
      </c>
    </row>
    <row r="15" spans="1:17" x14ac:dyDescent="0.3">
      <c r="A15" s="12" t="s">
        <v>127</v>
      </c>
      <c r="B15" s="105" t="s">
        <v>482</v>
      </c>
      <c r="C15" s="11" t="s">
        <v>128</v>
      </c>
      <c r="D15" s="112" t="s">
        <v>36</v>
      </c>
      <c r="E15" s="13" t="s">
        <v>134</v>
      </c>
      <c r="F15" s="11"/>
      <c r="H15" s="46">
        <v>392</v>
      </c>
      <c r="J15" s="43">
        <v>0</v>
      </c>
      <c r="K15" s="43">
        <f t="shared" si="0"/>
        <v>392</v>
      </c>
      <c r="L15" s="43">
        <f t="shared" si="1"/>
        <v>16568.199999999997</v>
      </c>
      <c r="M15" s="18" t="s">
        <v>90</v>
      </c>
    </row>
    <row r="16" spans="1:17" x14ac:dyDescent="0.3">
      <c r="A16" s="12" t="s">
        <v>127</v>
      </c>
      <c r="B16" s="105" t="s">
        <v>482</v>
      </c>
      <c r="C16" s="11" t="s">
        <v>129</v>
      </c>
      <c r="D16" s="132" t="s">
        <v>622</v>
      </c>
      <c r="E16" s="13" t="s">
        <v>136</v>
      </c>
      <c r="F16" s="11"/>
      <c r="H16" s="45">
        <v>75</v>
      </c>
      <c r="J16" s="43">
        <v>0</v>
      </c>
      <c r="K16" s="43">
        <f t="shared" si="0"/>
        <v>75</v>
      </c>
      <c r="L16" s="43">
        <f t="shared" si="1"/>
        <v>16643.199999999997</v>
      </c>
    </row>
    <row r="17" spans="1:14" x14ac:dyDescent="0.3">
      <c r="A17" s="12"/>
      <c r="B17" s="105" t="s">
        <v>482</v>
      </c>
      <c r="C17" s="11" t="s">
        <v>129</v>
      </c>
      <c r="D17" s="112" t="s">
        <v>36</v>
      </c>
      <c r="E17" s="13" t="s">
        <v>131</v>
      </c>
      <c r="F17" s="11"/>
      <c r="H17" s="46">
        <v>657</v>
      </c>
      <c r="I17" s="43">
        <f>SUM(H16:H17)</f>
        <v>732</v>
      </c>
      <c r="J17" s="43">
        <v>0</v>
      </c>
      <c r="K17" s="43">
        <f t="shared" si="0"/>
        <v>657</v>
      </c>
      <c r="L17" s="43">
        <f t="shared" si="1"/>
        <v>17300.199999999997</v>
      </c>
      <c r="M17" s="18" t="s">
        <v>90</v>
      </c>
    </row>
    <row r="18" spans="1:14" x14ac:dyDescent="0.3">
      <c r="A18" s="12" t="s">
        <v>115</v>
      </c>
      <c r="B18" s="105" t="s">
        <v>482</v>
      </c>
      <c r="C18" s="11" t="s">
        <v>135</v>
      </c>
      <c r="D18" s="112" t="s">
        <v>36</v>
      </c>
      <c r="E18" s="13" t="s">
        <v>130</v>
      </c>
      <c r="F18" s="11"/>
      <c r="H18" s="46">
        <v>1292</v>
      </c>
      <c r="J18" s="43">
        <v>0</v>
      </c>
      <c r="K18" s="43">
        <f t="shared" si="0"/>
        <v>1292</v>
      </c>
      <c r="L18" s="43">
        <f t="shared" si="1"/>
        <v>18592.199999999997</v>
      </c>
      <c r="M18" s="18" t="s">
        <v>90</v>
      </c>
    </row>
    <row r="19" spans="1:14" x14ac:dyDescent="0.3">
      <c r="A19" s="12" t="s">
        <v>137</v>
      </c>
      <c r="B19" s="105" t="s">
        <v>482</v>
      </c>
      <c r="C19" s="11" t="s">
        <v>138</v>
      </c>
      <c r="D19" s="112" t="s">
        <v>36</v>
      </c>
      <c r="E19" s="13" t="s">
        <v>148</v>
      </c>
      <c r="F19" s="11"/>
      <c r="H19" s="46">
        <v>333.2</v>
      </c>
      <c r="J19" s="43">
        <v>0</v>
      </c>
      <c r="K19" s="43">
        <f t="shared" si="0"/>
        <v>333.2</v>
      </c>
      <c r="L19" s="43">
        <f t="shared" si="1"/>
        <v>18925.399999999998</v>
      </c>
      <c r="M19" s="18" t="s">
        <v>90</v>
      </c>
    </row>
    <row r="20" spans="1:14" x14ac:dyDescent="0.3">
      <c r="A20" s="12" t="s">
        <v>139</v>
      </c>
      <c r="B20" s="105" t="s">
        <v>482</v>
      </c>
      <c r="C20" s="11" t="s">
        <v>140</v>
      </c>
      <c r="D20" s="112" t="s">
        <v>36</v>
      </c>
      <c r="E20" s="13" t="s">
        <v>149</v>
      </c>
      <c r="F20" s="11"/>
      <c r="H20" s="46">
        <v>108</v>
      </c>
      <c r="J20" s="43">
        <v>0</v>
      </c>
      <c r="K20" s="43">
        <f t="shared" si="0"/>
        <v>108</v>
      </c>
      <c r="L20" s="43">
        <f t="shared" si="1"/>
        <v>19033.399999999998</v>
      </c>
    </row>
    <row r="21" spans="1:14" x14ac:dyDescent="0.3">
      <c r="A21" s="12"/>
      <c r="B21" s="105" t="s">
        <v>482</v>
      </c>
      <c r="C21" s="11" t="s">
        <v>141</v>
      </c>
      <c r="D21" s="112" t="s">
        <v>36</v>
      </c>
      <c r="E21" s="13" t="s">
        <v>150</v>
      </c>
      <c r="F21" s="11"/>
      <c r="H21" s="46">
        <v>1289.03</v>
      </c>
      <c r="J21" s="43">
        <v>0</v>
      </c>
      <c r="K21" s="43">
        <f t="shared" si="0"/>
        <v>1289.03</v>
      </c>
      <c r="L21" s="43">
        <f t="shared" si="1"/>
        <v>20322.429999999997</v>
      </c>
    </row>
    <row r="22" spans="1:14" x14ac:dyDescent="0.3">
      <c r="A22" s="12"/>
      <c r="B22" s="105" t="s">
        <v>482</v>
      </c>
      <c r="C22" s="11" t="s">
        <v>142</v>
      </c>
      <c r="D22" s="112" t="s">
        <v>36</v>
      </c>
      <c r="E22" s="13" t="s">
        <v>151</v>
      </c>
      <c r="F22" s="11"/>
      <c r="H22" s="46">
        <v>171.5</v>
      </c>
      <c r="J22" s="43">
        <v>0</v>
      </c>
      <c r="K22" s="43">
        <f t="shared" si="0"/>
        <v>171.5</v>
      </c>
      <c r="L22" s="43">
        <f t="shared" si="1"/>
        <v>20493.929999999997</v>
      </c>
    </row>
    <row r="23" spans="1:14" x14ac:dyDescent="0.3">
      <c r="A23" s="12"/>
      <c r="B23" s="105" t="s">
        <v>482</v>
      </c>
      <c r="C23" s="11" t="s">
        <v>143</v>
      </c>
      <c r="D23" s="112" t="s">
        <v>36</v>
      </c>
      <c r="E23" s="13" t="s">
        <v>152</v>
      </c>
      <c r="F23" s="11"/>
      <c r="H23" s="46">
        <v>181.3</v>
      </c>
      <c r="J23" s="43">
        <v>0</v>
      </c>
      <c r="K23" s="43">
        <f t="shared" si="0"/>
        <v>181.3</v>
      </c>
      <c r="L23" s="43">
        <f t="shared" si="1"/>
        <v>20675.229999999996</v>
      </c>
      <c r="N23" s="15">
        <v>-1</v>
      </c>
    </row>
    <row r="24" spans="1:14" x14ac:dyDescent="0.3">
      <c r="A24" s="12"/>
      <c r="B24" s="105" t="s">
        <v>482</v>
      </c>
      <c r="C24" s="11" t="s">
        <v>144</v>
      </c>
      <c r="D24" s="112" t="s">
        <v>36</v>
      </c>
      <c r="E24" s="13" t="s">
        <v>153</v>
      </c>
      <c r="F24" s="11"/>
      <c r="H24" s="46">
        <v>240.8</v>
      </c>
      <c r="J24" s="43">
        <v>0</v>
      </c>
      <c r="K24" s="43">
        <f t="shared" si="0"/>
        <v>240.8</v>
      </c>
      <c r="L24" s="43">
        <f t="shared" si="1"/>
        <v>20916.029999999995</v>
      </c>
    </row>
    <row r="25" spans="1:14" x14ac:dyDescent="0.3">
      <c r="A25" s="12"/>
      <c r="B25" s="105" t="s">
        <v>482</v>
      </c>
      <c r="C25" s="11" t="s">
        <v>145</v>
      </c>
      <c r="D25" s="112" t="s">
        <v>37</v>
      </c>
      <c r="E25" s="13" t="s">
        <v>146</v>
      </c>
      <c r="F25" s="11"/>
      <c r="H25" s="45">
        <v>51</v>
      </c>
      <c r="J25" s="43">
        <v>0</v>
      </c>
      <c r="K25" s="43">
        <f t="shared" si="0"/>
        <v>51</v>
      </c>
      <c r="L25" s="43">
        <f t="shared" si="1"/>
        <v>20967.029999999995</v>
      </c>
    </row>
    <row r="26" spans="1:14" x14ac:dyDescent="0.3">
      <c r="A26" s="12"/>
      <c r="B26" s="105" t="s">
        <v>482</v>
      </c>
      <c r="C26" s="11" t="s">
        <v>145</v>
      </c>
      <c r="D26" s="112" t="s">
        <v>499</v>
      </c>
      <c r="E26" s="47" t="s">
        <v>147</v>
      </c>
      <c r="F26" s="11"/>
      <c r="G26" s="48" t="s">
        <v>324</v>
      </c>
      <c r="H26" s="49">
        <v>50</v>
      </c>
      <c r="I26" s="43">
        <f>SUM(H20:H26)</f>
        <v>2091.63</v>
      </c>
      <c r="J26" s="43">
        <v>0</v>
      </c>
      <c r="K26" s="43">
        <f t="shared" si="0"/>
        <v>50</v>
      </c>
      <c r="L26" s="43">
        <f t="shared" si="1"/>
        <v>21017.029999999995</v>
      </c>
      <c r="M26" s="18" t="s">
        <v>90</v>
      </c>
    </row>
    <row r="27" spans="1:14" x14ac:dyDescent="0.3">
      <c r="B27" s="105" t="s">
        <v>482</v>
      </c>
      <c r="C27" s="11" t="s">
        <v>50</v>
      </c>
      <c r="D27" s="112" t="s">
        <v>8</v>
      </c>
      <c r="E27" s="13" t="s">
        <v>51</v>
      </c>
      <c r="F27" s="11"/>
      <c r="G27" s="13" t="s">
        <v>49</v>
      </c>
      <c r="J27" s="43">
        <v>-400.84</v>
      </c>
      <c r="K27" s="43">
        <f t="shared" si="0"/>
        <v>-400.84</v>
      </c>
      <c r="L27" s="43">
        <f t="shared" si="1"/>
        <v>20616.189999999995</v>
      </c>
      <c r="M27" s="18" t="s">
        <v>90</v>
      </c>
    </row>
    <row r="28" spans="1:14" x14ac:dyDescent="0.3">
      <c r="B28" s="105" t="s">
        <v>482</v>
      </c>
      <c r="C28" s="11" t="s">
        <v>50</v>
      </c>
      <c r="D28" s="112" t="s">
        <v>9</v>
      </c>
      <c r="E28" s="13" t="s">
        <v>52</v>
      </c>
      <c r="F28" s="11"/>
      <c r="G28" s="13" t="s">
        <v>49</v>
      </c>
      <c r="J28" s="43">
        <v>-121.78</v>
      </c>
      <c r="K28" s="43">
        <f t="shared" si="0"/>
        <v>-121.78</v>
      </c>
      <c r="L28" s="43">
        <f t="shared" si="1"/>
        <v>20494.409999999996</v>
      </c>
      <c r="M28" s="18" t="s">
        <v>90</v>
      </c>
    </row>
    <row r="29" spans="1:14" x14ac:dyDescent="0.3">
      <c r="A29" s="12" t="s">
        <v>156</v>
      </c>
      <c r="B29" s="105" t="s">
        <v>482</v>
      </c>
      <c r="C29" s="11" t="s">
        <v>157</v>
      </c>
      <c r="D29" s="112" t="s">
        <v>37</v>
      </c>
      <c r="E29" s="13" t="s">
        <v>146</v>
      </c>
      <c r="F29" s="11"/>
      <c r="H29" s="45">
        <v>85</v>
      </c>
      <c r="J29" s="43">
        <v>0</v>
      </c>
      <c r="K29" s="43">
        <f t="shared" si="0"/>
        <v>85</v>
      </c>
      <c r="L29" s="43">
        <f t="shared" si="1"/>
        <v>20579.409999999996</v>
      </c>
    </row>
    <row r="30" spans="1:14" x14ac:dyDescent="0.3">
      <c r="A30" s="12"/>
      <c r="B30" s="105" t="s">
        <v>482</v>
      </c>
      <c r="C30" s="11" t="s">
        <v>157</v>
      </c>
      <c r="D30" s="112" t="s">
        <v>499</v>
      </c>
      <c r="E30" s="47" t="s">
        <v>160</v>
      </c>
      <c r="F30" s="11"/>
      <c r="H30" s="49">
        <v>50</v>
      </c>
      <c r="J30" s="43">
        <v>0</v>
      </c>
      <c r="K30" s="43">
        <f t="shared" si="0"/>
        <v>50</v>
      </c>
      <c r="L30" s="43">
        <f t="shared" si="1"/>
        <v>20629.409999999996</v>
      </c>
    </row>
    <row r="31" spans="1:14" x14ac:dyDescent="0.3">
      <c r="A31" s="12"/>
      <c r="B31" s="105" t="s">
        <v>482</v>
      </c>
      <c r="C31" s="11" t="s">
        <v>158</v>
      </c>
      <c r="D31" s="112" t="s">
        <v>36</v>
      </c>
      <c r="E31" s="13" t="s">
        <v>161</v>
      </c>
      <c r="F31" s="11"/>
      <c r="H31" s="46">
        <v>82</v>
      </c>
      <c r="J31" s="43">
        <v>0</v>
      </c>
      <c r="K31" s="43">
        <f t="shared" si="0"/>
        <v>82</v>
      </c>
      <c r="L31" s="43">
        <f t="shared" si="1"/>
        <v>20711.409999999996</v>
      </c>
    </row>
    <row r="32" spans="1:14" x14ac:dyDescent="0.3">
      <c r="A32" s="12"/>
      <c r="B32" s="105" t="s">
        <v>482</v>
      </c>
      <c r="C32" s="11" t="s">
        <v>159</v>
      </c>
      <c r="D32" s="112" t="s">
        <v>36</v>
      </c>
      <c r="E32" s="13" t="s">
        <v>162</v>
      </c>
      <c r="F32" s="11"/>
      <c r="H32" s="46">
        <v>82</v>
      </c>
      <c r="I32" s="43">
        <f>SUM(H29:H32)</f>
        <v>299</v>
      </c>
      <c r="J32" s="43">
        <v>0</v>
      </c>
      <c r="K32" s="43">
        <f t="shared" si="0"/>
        <v>82</v>
      </c>
      <c r="L32" s="43">
        <f t="shared" si="1"/>
        <v>20793.409999999996</v>
      </c>
      <c r="M32" s="18" t="s">
        <v>90</v>
      </c>
    </row>
    <row r="33" spans="1:14" x14ac:dyDescent="0.3">
      <c r="A33" s="12"/>
      <c r="B33" s="105" t="s">
        <v>482</v>
      </c>
      <c r="C33" s="11" t="s">
        <v>163</v>
      </c>
      <c r="D33" s="112" t="s">
        <v>37</v>
      </c>
      <c r="E33" s="13" t="s">
        <v>146</v>
      </c>
      <c r="F33" s="11"/>
      <c r="H33" s="45">
        <v>42.5</v>
      </c>
      <c r="J33" s="43">
        <v>0</v>
      </c>
      <c r="K33" s="43">
        <f t="shared" si="0"/>
        <v>42.5</v>
      </c>
      <c r="L33" s="43">
        <f t="shared" si="1"/>
        <v>20835.909999999996</v>
      </c>
    </row>
    <row r="34" spans="1:14" x14ac:dyDescent="0.3">
      <c r="A34" s="12"/>
      <c r="B34" s="105" t="s">
        <v>482</v>
      </c>
      <c r="C34" s="11" t="s">
        <v>163</v>
      </c>
      <c r="D34" s="112" t="s">
        <v>499</v>
      </c>
      <c r="E34" s="47" t="s">
        <v>164</v>
      </c>
      <c r="F34" s="11"/>
      <c r="H34" s="49">
        <v>50</v>
      </c>
      <c r="I34" s="43">
        <f>SUM(H33:H34)</f>
        <v>92.5</v>
      </c>
      <c r="J34" s="43">
        <v>0</v>
      </c>
      <c r="K34" s="43">
        <f t="shared" si="0"/>
        <v>50</v>
      </c>
      <c r="L34" s="43">
        <f t="shared" si="1"/>
        <v>20885.909999999996</v>
      </c>
      <c r="M34" s="18" t="s">
        <v>90</v>
      </c>
    </row>
    <row r="35" spans="1:14" x14ac:dyDescent="0.3">
      <c r="A35" s="12"/>
      <c r="B35" s="105" t="s">
        <v>482</v>
      </c>
      <c r="C35" s="11"/>
      <c r="D35" s="112"/>
      <c r="F35" s="11"/>
      <c r="J35" s="43">
        <v>0</v>
      </c>
      <c r="K35" s="43">
        <f t="shared" si="0"/>
        <v>0</v>
      </c>
      <c r="L35" s="43">
        <f t="shared" si="1"/>
        <v>20885.909999999996</v>
      </c>
    </row>
    <row r="36" spans="1:14" x14ac:dyDescent="0.3">
      <c r="A36" s="12"/>
      <c r="B36" s="105" t="s">
        <v>482</v>
      </c>
      <c r="C36" s="11" t="s">
        <v>48</v>
      </c>
      <c r="D36" s="112" t="s">
        <v>12</v>
      </c>
      <c r="E36" s="13" t="s">
        <v>59</v>
      </c>
      <c r="F36" s="11"/>
      <c r="G36" s="13" t="s">
        <v>49</v>
      </c>
      <c r="J36" s="43">
        <v>-114.24</v>
      </c>
      <c r="K36" s="43">
        <f t="shared" si="0"/>
        <v>-114.24</v>
      </c>
      <c r="L36" s="43">
        <f t="shared" si="1"/>
        <v>20771.669999999995</v>
      </c>
      <c r="M36" s="50" t="s">
        <v>90</v>
      </c>
      <c r="N36" s="25"/>
    </row>
    <row r="37" spans="1:14" x14ac:dyDescent="0.3">
      <c r="A37" s="12"/>
      <c r="B37" s="105" t="s">
        <v>482</v>
      </c>
      <c r="C37" s="11" t="s">
        <v>165</v>
      </c>
      <c r="D37" s="112" t="s">
        <v>36</v>
      </c>
      <c r="E37" s="13" t="s">
        <v>176</v>
      </c>
      <c r="F37" s="11"/>
      <c r="H37" s="46">
        <v>32</v>
      </c>
      <c r="J37" s="43">
        <v>0</v>
      </c>
      <c r="K37" s="43">
        <f t="shared" si="0"/>
        <v>32</v>
      </c>
      <c r="L37" s="43">
        <f t="shared" si="1"/>
        <v>20803.669999999995</v>
      </c>
    </row>
    <row r="38" spans="1:14" x14ac:dyDescent="0.3">
      <c r="A38" s="12"/>
      <c r="B38" s="105" t="s">
        <v>482</v>
      </c>
      <c r="C38" s="11" t="s">
        <v>166</v>
      </c>
      <c r="D38" s="112" t="s">
        <v>36</v>
      </c>
      <c r="E38" s="13" t="s">
        <v>177</v>
      </c>
      <c r="H38" s="46">
        <v>153</v>
      </c>
      <c r="I38" s="43">
        <f>SUM(H37:H38)</f>
        <v>185</v>
      </c>
      <c r="J38" s="43">
        <v>0</v>
      </c>
      <c r="K38" s="43">
        <f t="shared" si="0"/>
        <v>153</v>
      </c>
      <c r="L38" s="43">
        <f t="shared" si="1"/>
        <v>20956.669999999995</v>
      </c>
      <c r="M38" s="18" t="s">
        <v>90</v>
      </c>
    </row>
    <row r="39" spans="1:14" x14ac:dyDescent="0.3">
      <c r="A39" s="12" t="s">
        <v>167</v>
      </c>
      <c r="B39" s="105" t="s">
        <v>482</v>
      </c>
      <c r="C39" s="11" t="s">
        <v>168</v>
      </c>
      <c r="D39" s="112" t="s">
        <v>37</v>
      </c>
      <c r="H39" s="43">
        <v>50</v>
      </c>
      <c r="J39" s="43">
        <v>0</v>
      </c>
      <c r="K39" s="43">
        <f t="shared" si="0"/>
        <v>50</v>
      </c>
      <c r="L39" s="43">
        <f t="shared" si="1"/>
        <v>21006.669999999995</v>
      </c>
    </row>
    <row r="40" spans="1:14" x14ac:dyDescent="0.3">
      <c r="A40" s="12"/>
      <c r="B40" s="105" t="s">
        <v>482</v>
      </c>
      <c r="C40" s="11" t="s">
        <v>169</v>
      </c>
      <c r="D40" s="112" t="s">
        <v>37</v>
      </c>
      <c r="F40" s="11"/>
      <c r="H40" s="43">
        <v>51</v>
      </c>
      <c r="J40" s="43">
        <v>0</v>
      </c>
      <c r="K40" s="43">
        <f t="shared" si="0"/>
        <v>51</v>
      </c>
      <c r="L40" s="43">
        <f t="shared" si="1"/>
        <v>21057.669999999995</v>
      </c>
    </row>
    <row r="41" spans="1:14" x14ac:dyDescent="0.3">
      <c r="A41" s="12"/>
      <c r="B41" s="105" t="s">
        <v>482</v>
      </c>
      <c r="C41" s="11" t="s">
        <v>169</v>
      </c>
      <c r="D41" s="112" t="s">
        <v>499</v>
      </c>
      <c r="E41" s="47" t="s">
        <v>170</v>
      </c>
      <c r="F41" s="35"/>
      <c r="G41" s="47"/>
      <c r="H41" s="49">
        <v>50</v>
      </c>
      <c r="J41" s="43">
        <v>0</v>
      </c>
      <c r="K41" s="43">
        <f t="shared" si="0"/>
        <v>50</v>
      </c>
      <c r="L41" s="43">
        <f t="shared" si="1"/>
        <v>21107.669999999995</v>
      </c>
    </row>
    <row r="42" spans="1:14" x14ac:dyDescent="0.3">
      <c r="A42" s="12"/>
      <c r="B42" s="105" t="s">
        <v>482</v>
      </c>
      <c r="C42" s="11" t="s">
        <v>171</v>
      </c>
      <c r="D42" s="112" t="s">
        <v>37</v>
      </c>
      <c r="F42" s="11"/>
      <c r="H42" s="43">
        <v>16</v>
      </c>
      <c r="J42" s="43">
        <v>0</v>
      </c>
      <c r="K42" s="43">
        <f t="shared" si="0"/>
        <v>16</v>
      </c>
      <c r="L42" s="43">
        <f t="shared" si="1"/>
        <v>21123.669999999995</v>
      </c>
    </row>
    <row r="43" spans="1:14" x14ac:dyDescent="0.3">
      <c r="A43" s="12"/>
      <c r="B43" s="105" t="s">
        <v>482</v>
      </c>
      <c r="C43" s="11" t="s">
        <v>172</v>
      </c>
      <c r="D43" s="112" t="s">
        <v>37</v>
      </c>
      <c r="F43" s="11"/>
      <c r="H43" s="43">
        <v>51</v>
      </c>
      <c r="J43" s="43">
        <v>0</v>
      </c>
      <c r="K43" s="43">
        <f t="shared" si="0"/>
        <v>51</v>
      </c>
      <c r="L43" s="43">
        <f t="shared" si="1"/>
        <v>21174.669999999995</v>
      </c>
    </row>
    <row r="44" spans="1:14" x14ac:dyDescent="0.3">
      <c r="A44" s="12"/>
      <c r="B44" s="105" t="s">
        <v>482</v>
      </c>
      <c r="C44" s="11" t="s">
        <v>172</v>
      </c>
      <c r="D44" s="112" t="s">
        <v>499</v>
      </c>
      <c r="E44" s="47" t="s">
        <v>173</v>
      </c>
      <c r="F44" s="35"/>
      <c r="G44" s="47"/>
      <c r="H44" s="49">
        <v>50</v>
      </c>
      <c r="I44" s="43">
        <f>SUM(H39:H44)</f>
        <v>268</v>
      </c>
      <c r="J44" s="43">
        <v>0</v>
      </c>
      <c r="K44" s="43">
        <f t="shared" si="0"/>
        <v>50</v>
      </c>
      <c r="L44" s="43">
        <f t="shared" si="1"/>
        <v>21224.669999999995</v>
      </c>
      <c r="M44" s="18" t="s">
        <v>90</v>
      </c>
    </row>
    <row r="45" spans="1:14" x14ac:dyDescent="0.3">
      <c r="A45" s="12" t="s">
        <v>181</v>
      </c>
      <c r="B45" s="105" t="s">
        <v>482</v>
      </c>
      <c r="C45" s="11" t="s">
        <v>174</v>
      </c>
      <c r="D45" s="112" t="s">
        <v>36</v>
      </c>
      <c r="E45" s="13" t="s">
        <v>175</v>
      </c>
      <c r="F45" s="11"/>
      <c r="H45" s="46">
        <v>2522.8000000000002</v>
      </c>
      <c r="J45" s="43">
        <v>0</v>
      </c>
      <c r="K45" s="43">
        <f t="shared" si="0"/>
        <v>2522.8000000000002</v>
      </c>
      <c r="L45" s="43">
        <f t="shared" si="1"/>
        <v>23747.469999999994</v>
      </c>
      <c r="M45" s="18" t="s">
        <v>90</v>
      </c>
    </row>
    <row r="46" spans="1:14" x14ac:dyDescent="0.3">
      <c r="A46" s="12"/>
      <c r="B46" s="105" t="s">
        <v>482</v>
      </c>
      <c r="C46" s="11" t="s">
        <v>178</v>
      </c>
      <c r="D46" s="112" t="s">
        <v>36</v>
      </c>
      <c r="E46" s="13" t="s">
        <v>179</v>
      </c>
      <c r="F46" s="11"/>
      <c r="J46" s="43">
        <v>-1289.03</v>
      </c>
      <c r="K46" s="43">
        <f t="shared" si="0"/>
        <v>-1289.03</v>
      </c>
      <c r="L46" s="43">
        <f t="shared" si="1"/>
        <v>22458.439999999995</v>
      </c>
      <c r="M46" s="18" t="s">
        <v>90</v>
      </c>
    </row>
    <row r="47" spans="1:14" x14ac:dyDescent="0.3">
      <c r="A47" s="12"/>
      <c r="B47" s="105" t="s">
        <v>482</v>
      </c>
      <c r="C47" s="11" t="s">
        <v>187</v>
      </c>
      <c r="D47" s="132" t="s">
        <v>623</v>
      </c>
      <c r="F47" s="11"/>
      <c r="J47" s="43">
        <v>-6</v>
      </c>
      <c r="K47" s="43">
        <f t="shared" si="0"/>
        <v>-6</v>
      </c>
      <c r="L47" s="43">
        <f t="shared" si="1"/>
        <v>22452.439999999995</v>
      </c>
      <c r="M47" s="18" t="s">
        <v>90</v>
      </c>
    </row>
    <row r="48" spans="1:14" x14ac:dyDescent="0.3">
      <c r="A48" s="12"/>
      <c r="B48" s="105" t="s">
        <v>482</v>
      </c>
      <c r="C48" s="11" t="s">
        <v>53</v>
      </c>
      <c r="D48" s="112" t="s">
        <v>11</v>
      </c>
      <c r="F48" s="11"/>
      <c r="G48" s="13" t="s">
        <v>54</v>
      </c>
      <c r="J48" s="43">
        <v>-73.14</v>
      </c>
      <c r="K48" s="43">
        <f t="shared" si="0"/>
        <v>-73.14</v>
      </c>
      <c r="L48" s="43">
        <f t="shared" si="1"/>
        <v>22379.299999999996</v>
      </c>
      <c r="M48" s="18" t="s">
        <v>90</v>
      </c>
    </row>
    <row r="49" spans="1:17" x14ac:dyDescent="0.3">
      <c r="A49" s="12"/>
      <c r="B49" s="105" t="s">
        <v>482</v>
      </c>
      <c r="C49" s="11" t="s">
        <v>55</v>
      </c>
      <c r="D49" s="112" t="s">
        <v>12</v>
      </c>
      <c r="F49" s="11"/>
      <c r="G49" s="13" t="s">
        <v>54</v>
      </c>
      <c r="J49" s="43">
        <v>-250</v>
      </c>
      <c r="K49" s="43">
        <f t="shared" si="0"/>
        <v>-250</v>
      </c>
      <c r="L49" s="43">
        <f t="shared" si="1"/>
        <v>22129.299999999996</v>
      </c>
      <c r="M49" s="16" t="s">
        <v>90</v>
      </c>
      <c r="N49" s="18" t="s">
        <v>56</v>
      </c>
      <c r="O49" s="16">
        <f>-J49</f>
        <v>250</v>
      </c>
    </row>
    <row r="50" spans="1:17" x14ac:dyDescent="0.3">
      <c r="A50" s="12" t="s">
        <v>180</v>
      </c>
      <c r="B50" s="105" t="s">
        <v>482</v>
      </c>
      <c r="C50" s="11" t="s">
        <v>55</v>
      </c>
      <c r="D50" s="112" t="s">
        <v>12</v>
      </c>
      <c r="E50" s="13" t="s">
        <v>188</v>
      </c>
      <c r="F50" s="11"/>
      <c r="H50" s="43">
        <v>29.5</v>
      </c>
      <c r="J50" s="43">
        <v>0</v>
      </c>
      <c r="K50" s="43">
        <f t="shared" si="0"/>
        <v>29.5</v>
      </c>
      <c r="L50" s="43">
        <f t="shared" si="1"/>
        <v>22158.799999999996</v>
      </c>
      <c r="M50" s="16" t="s">
        <v>90</v>
      </c>
      <c r="N50" s="18" t="s">
        <v>57</v>
      </c>
      <c r="O50" s="16">
        <v>236</v>
      </c>
      <c r="P50" s="15">
        <v>2</v>
      </c>
    </row>
    <row r="51" spans="1:17" x14ac:dyDescent="0.3">
      <c r="B51" s="105" t="s">
        <v>482</v>
      </c>
      <c r="C51" s="11" t="s">
        <v>207</v>
      </c>
      <c r="D51" s="112" t="s">
        <v>37</v>
      </c>
      <c r="E51" s="13" t="s">
        <v>212</v>
      </c>
      <c r="G51" s="13">
        <v>500592</v>
      </c>
      <c r="J51" s="43">
        <v>-20</v>
      </c>
      <c r="K51" s="43">
        <f t="shared" si="0"/>
        <v>-20</v>
      </c>
      <c r="L51" s="43">
        <f t="shared" si="1"/>
        <v>22138.799999999996</v>
      </c>
      <c r="M51" s="18" t="s">
        <v>90</v>
      </c>
      <c r="O51" s="16">
        <v>29.5</v>
      </c>
    </row>
    <row r="52" spans="1:17" x14ac:dyDescent="0.3">
      <c r="C52" s="11"/>
      <c r="D52" s="112"/>
      <c r="L52" s="43">
        <f t="shared" si="1"/>
        <v>22138.799999999996</v>
      </c>
      <c r="M52" s="18">
        <v>22138.67</v>
      </c>
    </row>
    <row r="53" spans="1:17" x14ac:dyDescent="0.3">
      <c r="A53" s="12"/>
      <c r="B53" s="105"/>
      <c r="C53" s="11"/>
      <c r="D53" s="112"/>
      <c r="F53" s="11"/>
      <c r="H53" s="42"/>
      <c r="L53" s="43">
        <f t="shared" si="1"/>
        <v>22138.799999999996</v>
      </c>
    </row>
    <row r="54" spans="1:17" x14ac:dyDescent="0.3">
      <c r="A54" s="12"/>
      <c r="B54" s="105"/>
      <c r="C54" s="11"/>
      <c r="D54" s="112"/>
      <c r="F54" s="11"/>
      <c r="H54" s="42"/>
      <c r="L54" s="43">
        <f t="shared" si="1"/>
        <v>22138.799999999996</v>
      </c>
      <c r="Q54" s="11">
        <f>+I54</f>
        <v>0</v>
      </c>
    </row>
    <row r="55" spans="1:17" x14ac:dyDescent="0.3">
      <c r="A55" s="28" t="s">
        <v>78</v>
      </c>
      <c r="B55" s="105"/>
      <c r="F55" s="11"/>
      <c r="H55" s="42"/>
      <c r="L55" s="43">
        <f t="shared" si="1"/>
        <v>22138.799999999996</v>
      </c>
    </row>
    <row r="56" spans="1:17" x14ac:dyDescent="0.3">
      <c r="A56" s="28" t="s">
        <v>203</v>
      </c>
      <c r="B56" s="105" t="s">
        <v>483</v>
      </c>
      <c r="C56" s="15" t="s">
        <v>199</v>
      </c>
      <c r="D56" s="114" t="s">
        <v>512</v>
      </c>
      <c r="E56" s="13" t="s">
        <v>204</v>
      </c>
      <c r="F56" s="11"/>
      <c r="H56" s="45">
        <v>68</v>
      </c>
      <c r="J56" s="43">
        <v>0</v>
      </c>
      <c r="K56" s="43">
        <f t="shared" si="0"/>
        <v>68</v>
      </c>
      <c r="L56" s="43">
        <f t="shared" si="1"/>
        <v>22206.799999999996</v>
      </c>
    </row>
    <row r="57" spans="1:17" x14ac:dyDescent="0.3">
      <c r="A57" s="28"/>
      <c r="B57" s="105" t="s">
        <v>483</v>
      </c>
      <c r="C57" s="15" t="s">
        <v>200</v>
      </c>
      <c r="D57" s="114" t="s">
        <v>512</v>
      </c>
      <c r="E57" s="13" t="s">
        <v>204</v>
      </c>
      <c r="F57" s="11"/>
      <c r="H57" s="45">
        <v>51</v>
      </c>
      <c r="J57" s="43">
        <v>0</v>
      </c>
      <c r="K57" s="43">
        <f t="shared" si="0"/>
        <v>51</v>
      </c>
      <c r="L57" s="43">
        <f t="shared" si="1"/>
        <v>22257.799999999996</v>
      </c>
    </row>
    <row r="58" spans="1:17" x14ac:dyDescent="0.3">
      <c r="A58" s="28"/>
      <c r="B58" s="105" t="s">
        <v>483</v>
      </c>
      <c r="C58" s="15" t="s">
        <v>200</v>
      </c>
      <c r="D58" s="112" t="s">
        <v>499</v>
      </c>
      <c r="E58" s="47" t="s">
        <v>274</v>
      </c>
      <c r="F58" s="11"/>
      <c r="H58" s="49">
        <v>50</v>
      </c>
      <c r="J58" s="43">
        <v>0</v>
      </c>
      <c r="K58" s="43">
        <f t="shared" si="0"/>
        <v>50</v>
      </c>
      <c r="L58" s="43">
        <f t="shared" si="1"/>
        <v>22307.799999999996</v>
      </c>
    </row>
    <row r="59" spans="1:17" x14ac:dyDescent="0.3">
      <c r="A59" s="28"/>
      <c r="B59" s="105" t="s">
        <v>483</v>
      </c>
      <c r="C59" s="15" t="s">
        <v>201</v>
      </c>
      <c r="D59" s="114" t="s">
        <v>512</v>
      </c>
      <c r="E59" s="13" t="s">
        <v>204</v>
      </c>
      <c r="F59" s="11"/>
      <c r="H59" s="45">
        <v>68</v>
      </c>
      <c r="J59" s="43">
        <v>0</v>
      </c>
      <c r="K59" s="43">
        <f t="shared" si="0"/>
        <v>68</v>
      </c>
      <c r="L59" s="43">
        <f t="shared" si="1"/>
        <v>22375.799999999996</v>
      </c>
    </row>
    <row r="60" spans="1:17" x14ac:dyDescent="0.3">
      <c r="A60" s="28"/>
      <c r="B60" s="105" t="s">
        <v>483</v>
      </c>
      <c r="C60" s="15" t="s">
        <v>201</v>
      </c>
      <c r="D60" s="112" t="s">
        <v>499</v>
      </c>
      <c r="E60" s="47" t="s">
        <v>209</v>
      </c>
      <c r="F60" s="11"/>
      <c r="H60" s="49">
        <v>75</v>
      </c>
      <c r="J60" s="43">
        <v>0</v>
      </c>
      <c r="K60" s="43">
        <f t="shared" si="0"/>
        <v>75</v>
      </c>
      <c r="L60" s="43">
        <f t="shared" si="1"/>
        <v>22450.799999999996</v>
      </c>
    </row>
    <row r="61" spans="1:17" x14ac:dyDescent="0.3">
      <c r="A61" s="12"/>
      <c r="B61" s="105" t="s">
        <v>483</v>
      </c>
      <c r="C61" s="11" t="s">
        <v>202</v>
      </c>
      <c r="D61" s="114" t="s">
        <v>512</v>
      </c>
      <c r="E61" s="13" t="s">
        <v>204</v>
      </c>
      <c r="F61" s="11"/>
      <c r="H61" s="45">
        <v>34</v>
      </c>
      <c r="I61" s="43">
        <f>SUM(H56:H61)</f>
        <v>346</v>
      </c>
      <c r="J61" s="43">
        <v>0</v>
      </c>
      <c r="K61" s="43">
        <f t="shared" si="0"/>
        <v>34</v>
      </c>
      <c r="L61" s="43">
        <f t="shared" si="1"/>
        <v>22484.799999999996</v>
      </c>
      <c r="M61" s="18" t="s">
        <v>90</v>
      </c>
    </row>
    <row r="62" spans="1:17" x14ac:dyDescent="0.3">
      <c r="A62" s="12" t="s">
        <v>182</v>
      </c>
      <c r="B62" s="105" t="s">
        <v>483</v>
      </c>
      <c r="C62" s="11" t="s">
        <v>183</v>
      </c>
      <c r="D62" s="114" t="s">
        <v>512</v>
      </c>
      <c r="E62" s="13" t="s">
        <v>204</v>
      </c>
      <c r="F62" s="11"/>
      <c r="H62" s="42">
        <v>116</v>
      </c>
      <c r="J62" s="43">
        <v>0</v>
      </c>
      <c r="K62" s="43">
        <f t="shared" si="0"/>
        <v>116</v>
      </c>
      <c r="L62" s="43">
        <f t="shared" si="1"/>
        <v>22600.799999999996</v>
      </c>
    </row>
    <row r="63" spans="1:17" x14ac:dyDescent="0.3">
      <c r="A63" s="12"/>
      <c r="B63" s="105" t="s">
        <v>483</v>
      </c>
      <c r="C63" s="238" t="s">
        <v>118</v>
      </c>
      <c r="D63" s="114" t="s">
        <v>512</v>
      </c>
      <c r="E63" s="13" t="s">
        <v>204</v>
      </c>
      <c r="F63" s="11"/>
      <c r="H63" s="42">
        <v>17</v>
      </c>
      <c r="I63" s="43">
        <f>SUM(H62:H63)</f>
        <v>133</v>
      </c>
      <c r="J63" s="43">
        <v>0</v>
      </c>
      <c r="K63" s="43">
        <f t="shared" si="0"/>
        <v>17</v>
      </c>
      <c r="L63" s="43">
        <f t="shared" si="1"/>
        <v>22617.799999999996</v>
      </c>
      <c r="M63" s="18" t="s">
        <v>90</v>
      </c>
    </row>
    <row r="64" spans="1:17" x14ac:dyDescent="0.3">
      <c r="A64" s="12" t="s">
        <v>184</v>
      </c>
      <c r="B64" s="105" t="s">
        <v>483</v>
      </c>
      <c r="C64" s="11" t="s">
        <v>185</v>
      </c>
      <c r="D64" s="112" t="s">
        <v>40</v>
      </c>
      <c r="E64" s="11" t="s">
        <v>186</v>
      </c>
      <c r="F64" s="11"/>
      <c r="G64" s="13">
        <v>500259</v>
      </c>
      <c r="H64" s="42"/>
      <c r="J64" s="43">
        <v>-78</v>
      </c>
      <c r="K64" s="43">
        <f t="shared" si="0"/>
        <v>-78</v>
      </c>
      <c r="L64" s="43">
        <f t="shared" si="1"/>
        <v>22539.799999999996</v>
      </c>
      <c r="M64" s="18" t="s">
        <v>90</v>
      </c>
    </row>
    <row r="65" spans="1:15" x14ac:dyDescent="0.3">
      <c r="A65" s="12"/>
      <c r="B65" s="105" t="s">
        <v>483</v>
      </c>
      <c r="C65" s="11"/>
      <c r="D65" s="112"/>
      <c r="E65" s="11"/>
      <c r="F65" s="11"/>
      <c r="H65" s="42"/>
      <c r="J65" s="43">
        <v>0</v>
      </c>
      <c r="K65" s="43">
        <f t="shared" si="0"/>
        <v>0</v>
      </c>
      <c r="L65" s="43">
        <f t="shared" si="1"/>
        <v>22539.799999999996</v>
      </c>
    </row>
    <row r="66" spans="1:15" x14ac:dyDescent="0.3">
      <c r="A66" s="12"/>
      <c r="B66" s="105" t="s">
        <v>483</v>
      </c>
      <c r="C66" s="11"/>
      <c r="D66" s="112"/>
      <c r="E66" s="11"/>
      <c r="F66" s="11"/>
      <c r="H66" s="42"/>
      <c r="J66" s="43">
        <v>0</v>
      </c>
      <c r="K66" s="43">
        <f t="shared" si="0"/>
        <v>0</v>
      </c>
      <c r="L66" s="43">
        <f t="shared" si="1"/>
        <v>22539.799999999996</v>
      </c>
    </row>
    <row r="67" spans="1:15" x14ac:dyDescent="0.3">
      <c r="A67" s="12"/>
      <c r="B67" s="105" t="s">
        <v>483</v>
      </c>
      <c r="C67" s="11" t="s">
        <v>210</v>
      </c>
      <c r="D67" s="112" t="s">
        <v>504</v>
      </c>
      <c r="E67" s="47" t="s">
        <v>211</v>
      </c>
      <c r="F67" s="35"/>
      <c r="G67" s="47">
        <v>500593</v>
      </c>
      <c r="H67" s="42"/>
      <c r="J67" s="43">
        <v>-50</v>
      </c>
      <c r="K67" s="43">
        <f t="shared" si="0"/>
        <v>-50</v>
      </c>
      <c r="L67" s="43">
        <f t="shared" si="1"/>
        <v>22489.799999999996</v>
      </c>
      <c r="M67" s="18" t="s">
        <v>90</v>
      </c>
    </row>
    <row r="68" spans="1:15" x14ac:dyDescent="0.3">
      <c r="A68" s="12" t="s">
        <v>189</v>
      </c>
      <c r="B68" s="105" t="s">
        <v>483</v>
      </c>
      <c r="C68" s="11" t="s">
        <v>190</v>
      </c>
      <c r="D68" s="112" t="s">
        <v>515</v>
      </c>
      <c r="E68" s="13" t="s">
        <v>191</v>
      </c>
      <c r="F68" s="11"/>
      <c r="G68" s="13" t="s">
        <v>192</v>
      </c>
      <c r="H68" s="42"/>
      <c r="J68" s="43">
        <v>-3808.24</v>
      </c>
      <c r="K68" s="43">
        <f t="shared" si="0"/>
        <v>-3808.24</v>
      </c>
      <c r="L68" s="43">
        <f t="shared" si="1"/>
        <v>18681.559999999998</v>
      </c>
      <c r="M68" s="18" t="s">
        <v>90</v>
      </c>
    </row>
    <row r="69" spans="1:15" x14ac:dyDescent="0.3">
      <c r="A69" s="39">
        <v>19</v>
      </c>
      <c r="B69" s="105" t="s">
        <v>483</v>
      </c>
      <c r="C69" s="11" t="s">
        <v>193</v>
      </c>
      <c r="D69" s="112" t="s">
        <v>514</v>
      </c>
      <c r="E69" s="13" t="s">
        <v>194</v>
      </c>
      <c r="F69" s="11"/>
      <c r="H69" s="42">
        <v>117.5</v>
      </c>
      <c r="J69" s="43">
        <v>0</v>
      </c>
      <c r="K69" s="43">
        <f t="shared" si="0"/>
        <v>117.5</v>
      </c>
      <c r="L69" s="43">
        <f t="shared" si="1"/>
        <v>18799.059999999998</v>
      </c>
      <c r="M69" s="16"/>
    </row>
    <row r="70" spans="1:15" x14ac:dyDescent="0.3">
      <c r="B70" s="105" t="s">
        <v>483</v>
      </c>
      <c r="C70" s="11" t="s">
        <v>195</v>
      </c>
      <c r="D70" s="112" t="s">
        <v>513</v>
      </c>
      <c r="E70" s="13" t="s">
        <v>197</v>
      </c>
      <c r="F70" s="11"/>
      <c r="H70" s="46">
        <v>1289.03</v>
      </c>
      <c r="J70" s="43">
        <v>0</v>
      </c>
      <c r="K70" s="43">
        <f t="shared" si="0"/>
        <v>1289.03</v>
      </c>
      <c r="L70" s="43">
        <f t="shared" si="1"/>
        <v>20088.089999999997</v>
      </c>
    </row>
    <row r="71" spans="1:15" x14ac:dyDescent="0.3">
      <c r="B71" s="105" t="s">
        <v>483</v>
      </c>
      <c r="C71" s="11" t="s">
        <v>195</v>
      </c>
      <c r="D71" s="132" t="s">
        <v>623</v>
      </c>
      <c r="E71" s="13" t="s">
        <v>196</v>
      </c>
      <c r="F71" s="11"/>
      <c r="H71" s="42">
        <v>6</v>
      </c>
      <c r="I71" s="43">
        <f>SUM(H69:H71)</f>
        <v>1412.53</v>
      </c>
      <c r="J71" s="43">
        <v>0</v>
      </c>
      <c r="K71" s="43">
        <f t="shared" si="0"/>
        <v>6</v>
      </c>
      <c r="L71" s="43">
        <f t="shared" si="1"/>
        <v>20094.089999999997</v>
      </c>
      <c r="M71" s="18" t="s">
        <v>90</v>
      </c>
    </row>
    <row r="72" spans="1:15" x14ac:dyDescent="0.3">
      <c r="B72" s="105" t="s">
        <v>483</v>
      </c>
      <c r="C72" s="11" t="s">
        <v>145</v>
      </c>
      <c r="D72" s="112" t="s">
        <v>504</v>
      </c>
      <c r="E72" s="47" t="s">
        <v>208</v>
      </c>
      <c r="F72" s="11"/>
      <c r="G72" s="13">
        <v>500594</v>
      </c>
      <c r="H72" s="42"/>
      <c r="J72" s="43">
        <v>-50</v>
      </c>
      <c r="K72" s="43">
        <f t="shared" si="0"/>
        <v>-50</v>
      </c>
      <c r="L72" s="43">
        <f t="shared" ref="L72:L135" si="2">L71+K72</f>
        <v>20044.089999999997</v>
      </c>
      <c r="M72" s="16" t="s">
        <v>471</v>
      </c>
    </row>
    <row r="73" spans="1:15" x14ac:dyDescent="0.3">
      <c r="B73" s="105" t="s">
        <v>483</v>
      </c>
      <c r="C73" s="11" t="s">
        <v>50</v>
      </c>
      <c r="D73" s="112" t="s">
        <v>8</v>
      </c>
      <c r="E73" s="13" t="s">
        <v>51</v>
      </c>
      <c r="F73" s="11"/>
      <c r="G73" s="13" t="s">
        <v>49</v>
      </c>
      <c r="H73" s="42"/>
      <c r="J73" s="43">
        <v>-257.14</v>
      </c>
      <c r="K73" s="43">
        <f t="shared" ref="K73:K132" si="3">H73+J73</f>
        <v>-257.14</v>
      </c>
      <c r="L73" s="43">
        <f t="shared" si="2"/>
        <v>19786.949999999997</v>
      </c>
      <c r="M73" s="18" t="s">
        <v>90</v>
      </c>
    </row>
    <row r="74" spans="1:15" x14ac:dyDescent="0.3">
      <c r="A74" s="12"/>
      <c r="B74" s="105" t="s">
        <v>483</v>
      </c>
      <c r="C74" s="11" t="s">
        <v>50</v>
      </c>
      <c r="D74" s="112" t="s">
        <v>9</v>
      </c>
      <c r="E74" s="13" t="s">
        <v>52</v>
      </c>
      <c r="F74" s="11"/>
      <c r="G74" s="13" t="s">
        <v>49</v>
      </c>
      <c r="J74" s="43">
        <v>-116.73</v>
      </c>
      <c r="K74" s="43">
        <f t="shared" si="3"/>
        <v>-116.73</v>
      </c>
      <c r="L74" s="43">
        <f t="shared" si="2"/>
        <v>19670.219999999998</v>
      </c>
      <c r="M74" s="18" t="s">
        <v>90</v>
      </c>
    </row>
    <row r="75" spans="1:15" x14ac:dyDescent="0.3">
      <c r="B75" s="105" t="s">
        <v>483</v>
      </c>
      <c r="C75" s="11" t="s">
        <v>157</v>
      </c>
      <c r="D75" s="112" t="s">
        <v>504</v>
      </c>
      <c r="E75" s="47" t="s">
        <v>206</v>
      </c>
      <c r="F75" s="11"/>
      <c r="G75" s="13">
        <v>500595</v>
      </c>
      <c r="J75" s="43">
        <v>-50</v>
      </c>
      <c r="K75" s="43">
        <f t="shared" si="3"/>
        <v>-50</v>
      </c>
      <c r="L75" s="43">
        <f t="shared" si="2"/>
        <v>19620.219999999998</v>
      </c>
      <c r="M75" s="16" t="s">
        <v>90</v>
      </c>
    </row>
    <row r="76" spans="1:15" x14ac:dyDescent="0.3">
      <c r="B76" s="105" t="s">
        <v>483</v>
      </c>
      <c r="C76" s="11" t="s">
        <v>201</v>
      </c>
      <c r="D76" s="112" t="s">
        <v>504</v>
      </c>
      <c r="E76" s="47" t="s">
        <v>205</v>
      </c>
      <c r="F76" s="11"/>
      <c r="G76" s="13">
        <v>500596</v>
      </c>
      <c r="J76" s="43">
        <v>-75</v>
      </c>
      <c r="K76" s="43">
        <f t="shared" si="3"/>
        <v>-75</v>
      </c>
      <c r="L76" s="43">
        <f t="shared" si="2"/>
        <v>19545.219999999998</v>
      </c>
      <c r="M76" s="18" t="s">
        <v>90</v>
      </c>
    </row>
    <row r="77" spans="1:15" x14ac:dyDescent="0.3">
      <c r="B77" s="105" t="s">
        <v>483</v>
      </c>
      <c r="C77" s="11"/>
      <c r="D77" s="112"/>
      <c r="F77" s="11"/>
      <c r="J77" s="43">
        <v>0</v>
      </c>
      <c r="K77" s="43">
        <f t="shared" si="3"/>
        <v>0</v>
      </c>
      <c r="L77" s="43">
        <f t="shared" si="2"/>
        <v>19545.219999999998</v>
      </c>
      <c r="M77" s="16"/>
    </row>
    <row r="78" spans="1:15" x14ac:dyDescent="0.3">
      <c r="B78" s="105" t="s">
        <v>483</v>
      </c>
      <c r="C78" s="11" t="s">
        <v>48</v>
      </c>
      <c r="D78" s="112" t="s">
        <v>12</v>
      </c>
      <c r="E78" s="13" t="s">
        <v>12</v>
      </c>
      <c r="F78" s="17"/>
      <c r="G78" s="13" t="s">
        <v>49</v>
      </c>
      <c r="J78" s="43">
        <v>-67.44</v>
      </c>
      <c r="K78" s="43">
        <f t="shared" si="3"/>
        <v>-67.44</v>
      </c>
      <c r="L78" s="43">
        <f t="shared" si="2"/>
        <v>19477.78</v>
      </c>
      <c r="M78" s="18" t="s">
        <v>90</v>
      </c>
    </row>
    <row r="79" spans="1:15" x14ac:dyDescent="0.3">
      <c r="A79" s="12"/>
      <c r="B79" s="105" t="s">
        <v>483</v>
      </c>
      <c r="C79" s="11" t="s">
        <v>53</v>
      </c>
      <c r="D79" s="112" t="s">
        <v>11</v>
      </c>
      <c r="F79" s="11"/>
      <c r="G79" s="13" t="str">
        <f>+G48</f>
        <v>SO</v>
      </c>
      <c r="J79" s="43">
        <v>-82.88</v>
      </c>
      <c r="K79" s="43">
        <f t="shared" si="3"/>
        <v>-82.88</v>
      </c>
      <c r="L79" s="43">
        <f t="shared" si="2"/>
        <v>19394.899999999998</v>
      </c>
      <c r="M79" s="18" t="s">
        <v>90</v>
      </c>
    </row>
    <row r="80" spans="1:15" x14ac:dyDescent="0.3">
      <c r="A80" s="12"/>
      <c r="B80" s="105" t="s">
        <v>483</v>
      </c>
      <c r="C80" s="11" t="s">
        <v>55</v>
      </c>
      <c r="D80" s="112" t="s">
        <v>12</v>
      </c>
      <c r="F80" s="11"/>
      <c r="G80" s="13" t="str">
        <f>+G49</f>
        <v>SO</v>
      </c>
      <c r="J80" s="43">
        <v>-250</v>
      </c>
      <c r="K80" s="43">
        <f t="shared" si="3"/>
        <v>-250</v>
      </c>
      <c r="L80" s="43">
        <f t="shared" si="2"/>
        <v>19144.899999999998</v>
      </c>
      <c r="M80" s="16" t="s">
        <v>90</v>
      </c>
      <c r="N80" s="15" t="str">
        <f>+N49</f>
        <v>Payment</v>
      </c>
      <c r="O80" s="16">
        <f>-J80</f>
        <v>250</v>
      </c>
    </row>
    <row r="81" spans="1:16" x14ac:dyDescent="0.3">
      <c r="A81" s="12"/>
      <c r="B81" s="105" t="s">
        <v>483</v>
      </c>
      <c r="C81" s="11" t="s">
        <v>198</v>
      </c>
      <c r="D81" s="114" t="s">
        <v>512</v>
      </c>
      <c r="E81" s="13" t="s">
        <v>204</v>
      </c>
      <c r="F81" s="27"/>
      <c r="G81" s="33"/>
      <c r="H81" s="42">
        <v>16</v>
      </c>
      <c r="J81" s="43">
        <v>0</v>
      </c>
      <c r="K81" s="43">
        <f t="shared" si="3"/>
        <v>16</v>
      </c>
      <c r="L81" s="43">
        <f t="shared" si="2"/>
        <v>19160.899999999998</v>
      </c>
      <c r="M81" s="16">
        <f>L81-I81+J72+J76</f>
        <v>19035.899999999998</v>
      </c>
      <c r="N81" s="18" t="s">
        <v>57</v>
      </c>
      <c r="O81" s="16">
        <v>236</v>
      </c>
      <c r="P81" s="15">
        <v>3</v>
      </c>
    </row>
    <row r="82" spans="1:16" x14ac:dyDescent="0.3">
      <c r="C82" s="11"/>
      <c r="D82" s="112"/>
      <c r="E82" s="33"/>
      <c r="F82" s="27"/>
      <c r="G82" s="33"/>
      <c r="H82" s="42"/>
      <c r="L82" s="43">
        <f t="shared" si="2"/>
        <v>19160.899999999998</v>
      </c>
    </row>
    <row r="83" spans="1:16" x14ac:dyDescent="0.3">
      <c r="A83" s="12"/>
      <c r="B83" s="105"/>
      <c r="C83" s="11"/>
      <c r="D83" s="112"/>
      <c r="E83" s="33"/>
      <c r="F83" s="27"/>
      <c r="G83" s="33"/>
      <c r="H83" s="42"/>
      <c r="L83" s="43">
        <f t="shared" si="2"/>
        <v>19160.899999999998</v>
      </c>
    </row>
    <row r="84" spans="1:16" x14ac:dyDescent="0.3">
      <c r="A84" s="28" t="s">
        <v>79</v>
      </c>
      <c r="B84" s="105"/>
      <c r="C84" s="11"/>
      <c r="D84" s="112"/>
      <c r="E84" s="33"/>
      <c r="F84" s="52"/>
      <c r="G84" s="33"/>
      <c r="H84" s="42"/>
      <c r="J84" s="43">
        <v>0</v>
      </c>
      <c r="K84" s="43">
        <f t="shared" si="3"/>
        <v>0</v>
      </c>
      <c r="L84" s="43">
        <f t="shared" si="2"/>
        <v>19160.899999999998</v>
      </c>
    </row>
    <row r="85" spans="1:16" x14ac:dyDescent="0.3">
      <c r="A85" s="12"/>
      <c r="B85" s="105" t="s">
        <v>484</v>
      </c>
      <c r="C85" s="11" t="s">
        <v>172</v>
      </c>
      <c r="D85" s="112" t="s">
        <v>504</v>
      </c>
      <c r="E85" s="47" t="s">
        <v>213</v>
      </c>
      <c r="F85" s="27"/>
      <c r="G85" s="33">
        <v>500597</v>
      </c>
      <c r="H85" s="42"/>
      <c r="J85" s="43">
        <v>-50</v>
      </c>
      <c r="K85" s="43">
        <f t="shared" si="3"/>
        <v>-50</v>
      </c>
      <c r="L85" s="43">
        <f t="shared" si="2"/>
        <v>19110.899999999998</v>
      </c>
      <c r="M85" s="18" t="s">
        <v>90</v>
      </c>
    </row>
    <row r="86" spans="1:16" x14ac:dyDescent="0.3">
      <c r="B86" s="105" t="s">
        <v>484</v>
      </c>
      <c r="C86" s="11" t="s">
        <v>214</v>
      </c>
      <c r="D86" s="132" t="s">
        <v>623</v>
      </c>
      <c r="E86" s="33" t="s">
        <v>215</v>
      </c>
      <c r="F86" s="27"/>
      <c r="G86" s="33">
        <v>500114</v>
      </c>
      <c r="H86" s="42"/>
      <c r="J86" s="43">
        <v>-7.96</v>
      </c>
      <c r="K86" s="43">
        <f t="shared" si="3"/>
        <v>-7.96</v>
      </c>
      <c r="L86" s="43">
        <f t="shared" si="2"/>
        <v>19102.939999999999</v>
      </c>
      <c r="M86" s="18" t="s">
        <v>90</v>
      </c>
    </row>
    <row r="87" spans="1:16" x14ac:dyDescent="0.3">
      <c r="A87" s="53"/>
      <c r="B87" s="105" t="s">
        <v>484</v>
      </c>
      <c r="C87" s="11" t="s">
        <v>216</v>
      </c>
      <c r="D87" s="112" t="s">
        <v>513</v>
      </c>
      <c r="E87" s="33" t="s">
        <v>217</v>
      </c>
      <c r="F87" s="27"/>
      <c r="G87" s="33"/>
      <c r="H87" s="51">
        <v>171.5</v>
      </c>
      <c r="J87" s="43">
        <v>0</v>
      </c>
      <c r="K87" s="43">
        <f t="shared" si="3"/>
        <v>171.5</v>
      </c>
      <c r="L87" s="43">
        <f t="shared" si="2"/>
        <v>19274.439999999999</v>
      </c>
      <c r="M87" s="18" t="s">
        <v>90</v>
      </c>
    </row>
    <row r="88" spans="1:16" x14ac:dyDescent="0.3">
      <c r="A88" s="53"/>
      <c r="B88" s="105" t="s">
        <v>484</v>
      </c>
      <c r="C88" s="11"/>
      <c r="D88" s="112"/>
      <c r="E88" s="33"/>
      <c r="F88" s="27"/>
      <c r="G88" s="33"/>
      <c r="H88" s="42"/>
      <c r="J88" s="43">
        <v>0</v>
      </c>
      <c r="K88" s="43">
        <f t="shared" si="3"/>
        <v>0</v>
      </c>
      <c r="L88" s="43">
        <f t="shared" si="2"/>
        <v>19274.439999999999</v>
      </c>
    </row>
    <row r="89" spans="1:16" x14ac:dyDescent="0.3">
      <c r="B89" s="105" t="s">
        <v>484</v>
      </c>
      <c r="C89" s="54" t="s">
        <v>218</v>
      </c>
      <c r="D89" s="115" t="s">
        <v>512</v>
      </c>
      <c r="E89" s="33" t="s">
        <v>219</v>
      </c>
      <c r="F89" s="27"/>
      <c r="G89" s="33"/>
      <c r="H89" s="42">
        <v>20</v>
      </c>
      <c r="J89" s="43">
        <v>0</v>
      </c>
      <c r="K89" s="43">
        <f t="shared" si="3"/>
        <v>20</v>
      </c>
      <c r="L89" s="43">
        <f t="shared" si="2"/>
        <v>19294.439999999999</v>
      </c>
      <c r="M89" s="16"/>
    </row>
    <row r="90" spans="1:16" x14ac:dyDescent="0.3">
      <c r="B90" s="105" t="s">
        <v>484</v>
      </c>
      <c r="C90" s="238" t="s">
        <v>118</v>
      </c>
      <c r="D90" s="115" t="s">
        <v>512</v>
      </c>
      <c r="E90" s="33" t="s">
        <v>219</v>
      </c>
      <c r="F90" s="27"/>
      <c r="G90" s="33"/>
      <c r="H90" s="42">
        <v>34</v>
      </c>
      <c r="J90" s="43">
        <v>0</v>
      </c>
      <c r="K90" s="43">
        <f t="shared" si="3"/>
        <v>34</v>
      </c>
      <c r="L90" s="43">
        <f t="shared" si="2"/>
        <v>19328.439999999999</v>
      </c>
      <c r="M90" s="16"/>
    </row>
    <row r="91" spans="1:16" x14ac:dyDescent="0.3">
      <c r="B91" s="105" t="s">
        <v>484</v>
      </c>
      <c r="C91" s="11" t="s">
        <v>220</v>
      </c>
      <c r="D91" s="115" t="s">
        <v>512</v>
      </c>
      <c r="E91" s="33" t="s">
        <v>219</v>
      </c>
      <c r="F91" s="27"/>
      <c r="G91" s="33"/>
      <c r="H91" s="42">
        <v>8</v>
      </c>
      <c r="I91" s="43">
        <f>SUM(H89:H91)</f>
        <v>62</v>
      </c>
      <c r="J91" s="43">
        <v>0</v>
      </c>
      <c r="K91" s="43">
        <f t="shared" si="3"/>
        <v>8</v>
      </c>
      <c r="L91" s="43">
        <f t="shared" si="2"/>
        <v>19336.439999999999</v>
      </c>
      <c r="M91" s="18" t="s">
        <v>90</v>
      </c>
    </row>
    <row r="92" spans="1:16" x14ac:dyDescent="0.3">
      <c r="A92" s="12"/>
      <c r="B92" s="105" t="s">
        <v>484</v>
      </c>
      <c r="C92" s="11" t="s">
        <v>221</v>
      </c>
      <c r="D92" s="115" t="s">
        <v>512</v>
      </c>
      <c r="E92" s="33"/>
      <c r="F92" s="27"/>
      <c r="G92" s="33"/>
      <c r="H92" s="42">
        <v>48</v>
      </c>
      <c r="J92" s="43">
        <v>0</v>
      </c>
      <c r="K92" s="43">
        <f t="shared" si="3"/>
        <v>48</v>
      </c>
      <c r="L92" s="43">
        <f t="shared" si="2"/>
        <v>19384.439999999999</v>
      </c>
    </row>
    <row r="93" spans="1:16" x14ac:dyDescent="0.3">
      <c r="A93" s="12"/>
      <c r="B93" s="105" t="s">
        <v>484</v>
      </c>
      <c r="C93" s="11" t="s">
        <v>118</v>
      </c>
      <c r="D93" s="115" t="s">
        <v>512</v>
      </c>
      <c r="E93" s="33"/>
      <c r="F93" s="27"/>
      <c r="G93" s="33"/>
      <c r="H93" s="42">
        <v>8.5</v>
      </c>
      <c r="J93" s="43">
        <v>0</v>
      </c>
      <c r="K93" s="43">
        <f t="shared" si="3"/>
        <v>8.5</v>
      </c>
      <c r="L93" s="43">
        <f t="shared" si="2"/>
        <v>19392.939999999999</v>
      </c>
    </row>
    <row r="94" spans="1:16" x14ac:dyDescent="0.3">
      <c r="B94" s="105" t="s">
        <v>484</v>
      </c>
      <c r="C94" s="11" t="s">
        <v>222</v>
      </c>
      <c r="D94" s="115" t="s">
        <v>512</v>
      </c>
      <c r="E94" s="33"/>
      <c r="F94" s="27"/>
      <c r="G94" s="33"/>
      <c r="H94" s="42">
        <v>7</v>
      </c>
      <c r="I94" s="43">
        <f>SUM(H92:H94)</f>
        <v>63.5</v>
      </c>
      <c r="J94" s="43">
        <v>0</v>
      </c>
      <c r="K94" s="43">
        <f t="shared" si="3"/>
        <v>7</v>
      </c>
      <c r="L94" s="43">
        <f t="shared" si="2"/>
        <v>19399.939999999999</v>
      </c>
      <c r="M94" s="18" t="s">
        <v>90</v>
      </c>
    </row>
    <row r="95" spans="1:16" x14ac:dyDescent="0.3">
      <c r="A95" s="12"/>
      <c r="B95" s="105" t="s">
        <v>484</v>
      </c>
      <c r="C95" s="11"/>
      <c r="D95" s="112"/>
      <c r="E95" s="33"/>
      <c r="F95" s="27"/>
      <c r="G95" s="33"/>
      <c r="H95" s="42"/>
      <c r="J95" s="43">
        <v>0</v>
      </c>
      <c r="K95" s="43">
        <f t="shared" si="3"/>
        <v>0</v>
      </c>
      <c r="L95" s="43">
        <f t="shared" si="2"/>
        <v>19399.939999999999</v>
      </c>
    </row>
    <row r="96" spans="1:16" x14ac:dyDescent="0.3">
      <c r="A96" s="12"/>
      <c r="B96" s="105" t="s">
        <v>484</v>
      </c>
      <c r="C96" s="11" t="s">
        <v>58</v>
      </c>
      <c r="D96" s="112" t="s">
        <v>9</v>
      </c>
      <c r="E96" s="13" t="s">
        <v>52</v>
      </c>
      <c r="F96" s="11"/>
      <c r="G96" s="13" t="s">
        <v>49</v>
      </c>
      <c r="J96" s="43">
        <v>-218.61</v>
      </c>
      <c r="K96" s="43">
        <f t="shared" si="3"/>
        <v>-218.61</v>
      </c>
      <c r="L96" s="43">
        <f t="shared" si="2"/>
        <v>19181.329999999998</v>
      </c>
      <c r="M96" s="18" t="s">
        <v>90</v>
      </c>
    </row>
    <row r="97" spans="1:16" x14ac:dyDescent="0.3">
      <c r="A97" s="12"/>
      <c r="B97" s="105" t="s">
        <v>484</v>
      </c>
      <c r="C97" s="11" t="s">
        <v>48</v>
      </c>
      <c r="D97" s="112" t="s">
        <v>12</v>
      </c>
      <c r="E97" s="13" t="s">
        <v>59</v>
      </c>
      <c r="F97" s="11"/>
      <c r="G97" s="13" t="s">
        <v>49</v>
      </c>
      <c r="J97" s="43">
        <v>-67.44</v>
      </c>
      <c r="K97" s="43">
        <f t="shared" si="3"/>
        <v>-67.44</v>
      </c>
      <c r="L97" s="43">
        <f t="shared" si="2"/>
        <v>19113.89</v>
      </c>
      <c r="M97" s="18" t="s">
        <v>90</v>
      </c>
    </row>
    <row r="98" spans="1:16" x14ac:dyDescent="0.3">
      <c r="A98" s="12"/>
      <c r="B98" s="105" t="s">
        <v>484</v>
      </c>
      <c r="C98" s="11" t="str">
        <f>+C79</f>
        <v>United Utilities</v>
      </c>
      <c r="D98" s="112" t="s">
        <v>11</v>
      </c>
      <c r="F98" s="11"/>
      <c r="G98" s="13" t="str">
        <f>+G79</f>
        <v>SO</v>
      </c>
      <c r="J98" s="43">
        <v>-82.88</v>
      </c>
      <c r="K98" s="43">
        <f t="shared" si="3"/>
        <v>-82.88</v>
      </c>
      <c r="L98" s="43">
        <f t="shared" si="2"/>
        <v>19031.009999999998</v>
      </c>
      <c r="M98" s="18" t="s">
        <v>90</v>
      </c>
      <c r="N98" s="15" t="s">
        <v>56</v>
      </c>
      <c r="O98" s="16">
        <f>-J99</f>
        <v>250</v>
      </c>
      <c r="P98" s="15">
        <v>4</v>
      </c>
    </row>
    <row r="99" spans="1:16" x14ac:dyDescent="0.3">
      <c r="A99" s="12"/>
      <c r="B99" s="105" t="s">
        <v>484</v>
      </c>
      <c r="C99" s="11" t="str">
        <f>+C80</f>
        <v>Poppies</v>
      </c>
      <c r="D99" s="112" t="s">
        <v>12</v>
      </c>
      <c r="F99" s="11"/>
      <c r="G99" s="13" t="str">
        <f>+G80</f>
        <v>SO</v>
      </c>
      <c r="J99" s="43">
        <v>-250</v>
      </c>
      <c r="K99" s="43">
        <f t="shared" si="3"/>
        <v>-250</v>
      </c>
      <c r="L99" s="43">
        <f t="shared" si="2"/>
        <v>18781.009999999998</v>
      </c>
      <c r="M99" s="18" t="s">
        <v>90</v>
      </c>
      <c r="N99" s="18" t="s">
        <v>57</v>
      </c>
      <c r="O99" s="16">
        <v>236</v>
      </c>
    </row>
    <row r="100" spans="1:16" x14ac:dyDescent="0.3">
      <c r="A100" s="12" t="s">
        <v>180</v>
      </c>
      <c r="B100" s="105" t="s">
        <v>484</v>
      </c>
      <c r="C100" s="15" t="s">
        <v>223</v>
      </c>
      <c r="D100" s="112" t="s">
        <v>499</v>
      </c>
      <c r="E100" s="47" t="s">
        <v>225</v>
      </c>
      <c r="H100" s="49">
        <v>50</v>
      </c>
      <c r="J100" s="43">
        <v>0</v>
      </c>
      <c r="K100" s="43">
        <f t="shared" si="3"/>
        <v>50</v>
      </c>
      <c r="L100" s="43">
        <f t="shared" si="2"/>
        <v>18831.009999999998</v>
      </c>
      <c r="M100" s="16">
        <f>L100+J72</f>
        <v>18781.009999999998</v>
      </c>
    </row>
    <row r="101" spans="1:16" x14ac:dyDescent="0.3">
      <c r="A101" s="12"/>
      <c r="B101" s="105" t="s">
        <v>484</v>
      </c>
      <c r="C101" s="11" t="s">
        <v>224</v>
      </c>
      <c r="D101" s="115" t="s">
        <v>512</v>
      </c>
      <c r="E101" s="13" t="s">
        <v>204</v>
      </c>
      <c r="F101" s="11"/>
      <c r="H101" s="43">
        <v>51</v>
      </c>
      <c r="I101" s="43">
        <f>SUM(H100:H101)</f>
        <v>101</v>
      </c>
      <c r="J101" s="43">
        <v>0</v>
      </c>
      <c r="K101" s="43">
        <f t="shared" si="3"/>
        <v>51</v>
      </c>
      <c r="L101" s="43">
        <f t="shared" si="2"/>
        <v>18882.009999999998</v>
      </c>
      <c r="M101" s="18" t="s">
        <v>90</v>
      </c>
    </row>
    <row r="102" spans="1:16" x14ac:dyDescent="0.3">
      <c r="A102" s="12"/>
      <c r="B102" s="105"/>
      <c r="L102" s="43">
        <f t="shared" si="2"/>
        <v>18882.009999999998</v>
      </c>
    </row>
    <row r="103" spans="1:16" x14ac:dyDescent="0.3">
      <c r="A103" s="28" t="s">
        <v>80</v>
      </c>
      <c r="B103" s="105" t="s">
        <v>485</v>
      </c>
      <c r="C103" s="238" t="s">
        <v>118</v>
      </c>
      <c r="D103" s="112" t="s">
        <v>512</v>
      </c>
      <c r="F103" s="11"/>
      <c r="H103" s="43">
        <v>51</v>
      </c>
      <c r="J103" s="43">
        <v>0</v>
      </c>
      <c r="K103" s="43">
        <f t="shared" si="3"/>
        <v>51</v>
      </c>
      <c r="L103" s="43">
        <f t="shared" si="2"/>
        <v>18933.009999999998</v>
      </c>
    </row>
    <row r="104" spans="1:16" x14ac:dyDescent="0.3">
      <c r="A104" s="12"/>
      <c r="B104" s="105" t="s">
        <v>485</v>
      </c>
      <c r="C104" s="11" t="s">
        <v>221</v>
      </c>
      <c r="D104" s="112" t="s">
        <v>512</v>
      </c>
      <c r="F104" s="13"/>
      <c r="H104" s="43">
        <v>32</v>
      </c>
      <c r="J104" s="43">
        <v>0</v>
      </c>
      <c r="K104" s="43">
        <f t="shared" si="3"/>
        <v>32</v>
      </c>
      <c r="L104" s="43">
        <f t="shared" si="2"/>
        <v>18965.009999999998</v>
      </c>
    </row>
    <row r="105" spans="1:16" x14ac:dyDescent="0.3">
      <c r="A105" s="12"/>
      <c r="B105" s="105" t="s">
        <v>485</v>
      </c>
      <c r="C105" s="11" t="s">
        <v>218</v>
      </c>
      <c r="D105" s="112" t="s">
        <v>514</v>
      </c>
      <c r="E105" s="13" t="s">
        <v>226</v>
      </c>
      <c r="F105" s="13"/>
      <c r="H105" s="43">
        <v>113</v>
      </c>
      <c r="J105" s="43">
        <v>0</v>
      </c>
      <c r="K105" s="43">
        <f t="shared" si="3"/>
        <v>113</v>
      </c>
      <c r="L105" s="43">
        <f t="shared" si="2"/>
        <v>19078.009999999998</v>
      </c>
    </row>
    <row r="106" spans="1:16" x14ac:dyDescent="0.3">
      <c r="A106" s="12"/>
      <c r="B106" s="105" t="s">
        <v>485</v>
      </c>
      <c r="C106" s="15" t="s">
        <v>227</v>
      </c>
      <c r="D106" s="112" t="s">
        <v>512</v>
      </c>
      <c r="H106" s="43">
        <v>12</v>
      </c>
      <c r="I106" s="43">
        <f>SUM(H103:H106)</f>
        <v>208</v>
      </c>
      <c r="J106" s="43">
        <v>0</v>
      </c>
      <c r="K106" s="43">
        <f t="shared" si="3"/>
        <v>12</v>
      </c>
      <c r="L106" s="43">
        <f t="shared" si="2"/>
        <v>19090.009999999998</v>
      </c>
      <c r="M106" s="18" t="s">
        <v>90</v>
      </c>
    </row>
    <row r="107" spans="1:16" x14ac:dyDescent="0.3">
      <c r="A107" s="12"/>
      <c r="B107" s="105" t="s">
        <v>485</v>
      </c>
      <c r="C107" s="15" t="s">
        <v>228</v>
      </c>
      <c r="D107" s="112" t="s">
        <v>513</v>
      </c>
      <c r="E107" s="33"/>
      <c r="F107" s="27"/>
      <c r="G107" s="33"/>
      <c r="H107" s="51">
        <v>181.3</v>
      </c>
      <c r="J107" s="43">
        <v>0</v>
      </c>
      <c r="K107" s="43">
        <f t="shared" si="3"/>
        <v>181.3</v>
      </c>
      <c r="L107" s="43">
        <f t="shared" si="2"/>
        <v>19271.309999999998</v>
      </c>
      <c r="M107" s="16" t="s">
        <v>90</v>
      </c>
    </row>
    <row r="108" spans="1:16" x14ac:dyDescent="0.3">
      <c r="B108" s="105" t="s">
        <v>485</v>
      </c>
      <c r="C108" s="15" t="s">
        <v>229</v>
      </c>
      <c r="D108" s="112" t="s">
        <v>513</v>
      </c>
      <c r="E108" s="33"/>
      <c r="F108" s="27"/>
      <c r="G108" s="33"/>
      <c r="H108" s="51">
        <v>171.5</v>
      </c>
      <c r="J108" s="43">
        <v>0</v>
      </c>
      <c r="K108" s="43">
        <f t="shared" si="3"/>
        <v>171.5</v>
      </c>
      <c r="L108" s="43">
        <f t="shared" si="2"/>
        <v>19442.809999999998</v>
      </c>
      <c r="M108" s="16" t="s">
        <v>90</v>
      </c>
    </row>
    <row r="109" spans="1:16" x14ac:dyDescent="0.3">
      <c r="A109" s="12"/>
      <c r="B109" s="105" t="s">
        <v>485</v>
      </c>
      <c r="C109" s="11" t="s">
        <v>230</v>
      </c>
      <c r="D109" s="112" t="s">
        <v>513</v>
      </c>
      <c r="E109" s="33"/>
      <c r="F109" s="27"/>
      <c r="G109" s="33"/>
      <c r="H109" s="51">
        <v>171.5</v>
      </c>
      <c r="J109" s="43">
        <v>0</v>
      </c>
      <c r="K109" s="43">
        <f t="shared" si="3"/>
        <v>171.5</v>
      </c>
      <c r="L109" s="43">
        <f t="shared" si="2"/>
        <v>19614.309999999998</v>
      </c>
      <c r="M109" s="16" t="s">
        <v>90</v>
      </c>
    </row>
    <row r="110" spans="1:16" x14ac:dyDescent="0.3">
      <c r="A110" s="12"/>
      <c r="B110" s="105" t="s">
        <v>485</v>
      </c>
      <c r="C110" s="11" t="s">
        <v>174</v>
      </c>
      <c r="D110" s="112" t="s">
        <v>513</v>
      </c>
      <c r="E110" s="33"/>
      <c r="F110" s="27"/>
      <c r="G110" s="33"/>
      <c r="H110" s="51">
        <v>2917.2</v>
      </c>
      <c r="J110" s="43">
        <v>0</v>
      </c>
      <c r="K110" s="43">
        <f t="shared" si="3"/>
        <v>2917.2</v>
      </c>
      <c r="L110" s="43">
        <f t="shared" si="2"/>
        <v>22531.51</v>
      </c>
      <c r="M110" s="16" t="s">
        <v>90</v>
      </c>
    </row>
    <row r="111" spans="1:16" x14ac:dyDescent="0.3">
      <c r="A111" s="12"/>
      <c r="B111" s="105" t="s">
        <v>485</v>
      </c>
      <c r="C111" s="11" t="s">
        <v>272</v>
      </c>
      <c r="D111" s="116" t="s">
        <v>504</v>
      </c>
      <c r="E111" s="47" t="s">
        <v>273</v>
      </c>
      <c r="F111" s="27"/>
      <c r="G111" s="33">
        <v>500598</v>
      </c>
      <c r="H111" s="42"/>
      <c r="J111" s="43">
        <v>-50</v>
      </c>
      <c r="K111" s="43">
        <f t="shared" si="3"/>
        <v>-50</v>
      </c>
      <c r="L111" s="43">
        <f t="shared" si="2"/>
        <v>22481.51</v>
      </c>
      <c r="M111" s="16" t="s">
        <v>90</v>
      </c>
    </row>
    <row r="112" spans="1:16" x14ac:dyDescent="0.3">
      <c r="A112" s="12"/>
      <c r="B112" s="105" t="s">
        <v>485</v>
      </c>
      <c r="C112" s="11" t="s">
        <v>169</v>
      </c>
      <c r="D112" s="116" t="s">
        <v>504</v>
      </c>
      <c r="E112" s="47" t="s">
        <v>231</v>
      </c>
      <c r="F112" s="27"/>
      <c r="G112" s="33">
        <v>500599</v>
      </c>
      <c r="H112" s="42"/>
      <c r="J112" s="43">
        <v>-50</v>
      </c>
      <c r="K112" s="43">
        <f t="shared" si="3"/>
        <v>-50</v>
      </c>
      <c r="L112" s="43">
        <f t="shared" si="2"/>
        <v>22431.51</v>
      </c>
      <c r="M112" s="18" t="s">
        <v>90</v>
      </c>
    </row>
    <row r="113" spans="1:16" x14ac:dyDescent="0.3">
      <c r="A113" s="12"/>
      <c r="B113" s="105" t="s">
        <v>485</v>
      </c>
      <c r="C113" s="11" t="s">
        <v>138</v>
      </c>
      <c r="D113" s="112" t="s">
        <v>513</v>
      </c>
      <c r="E113" s="33"/>
      <c r="F113" s="27"/>
      <c r="G113" s="33"/>
      <c r="H113" s="51">
        <v>261.8</v>
      </c>
      <c r="J113" s="43">
        <v>0</v>
      </c>
      <c r="K113" s="43">
        <f t="shared" si="3"/>
        <v>261.8</v>
      </c>
      <c r="L113" s="43">
        <f t="shared" si="2"/>
        <v>22693.309999999998</v>
      </c>
      <c r="M113" s="18" t="s">
        <v>90</v>
      </c>
    </row>
    <row r="114" spans="1:16" x14ac:dyDescent="0.3">
      <c r="A114" s="12"/>
      <c r="B114" s="105" t="s">
        <v>485</v>
      </c>
      <c r="C114" s="11" t="s">
        <v>232</v>
      </c>
      <c r="D114" s="132" t="s">
        <v>623</v>
      </c>
      <c r="E114" s="27"/>
      <c r="F114" s="27"/>
      <c r="G114" s="33" t="s">
        <v>233</v>
      </c>
      <c r="H114" s="42"/>
      <c r="J114" s="43">
        <v>-50</v>
      </c>
      <c r="K114" s="43">
        <f t="shared" si="3"/>
        <v>-50</v>
      </c>
      <c r="L114" s="43">
        <f t="shared" si="2"/>
        <v>22643.309999999998</v>
      </c>
      <c r="M114" s="18" t="s">
        <v>90</v>
      </c>
    </row>
    <row r="115" spans="1:16" x14ac:dyDescent="0.3">
      <c r="A115" s="26"/>
      <c r="B115" s="105" t="s">
        <v>485</v>
      </c>
      <c r="C115" s="11" t="s">
        <v>48</v>
      </c>
      <c r="D115" s="112" t="s">
        <v>12</v>
      </c>
      <c r="E115" s="27"/>
      <c r="F115" s="27"/>
      <c r="G115" s="27" t="s">
        <v>49</v>
      </c>
      <c r="H115" s="42"/>
      <c r="J115" s="43">
        <v>-67.44</v>
      </c>
      <c r="K115" s="43">
        <f t="shared" si="3"/>
        <v>-67.44</v>
      </c>
      <c r="L115" s="43">
        <f t="shared" si="2"/>
        <v>22575.87</v>
      </c>
      <c r="M115" s="18" t="s">
        <v>90</v>
      </c>
    </row>
    <row r="116" spans="1:16" x14ac:dyDescent="0.3">
      <c r="A116" s="12"/>
      <c r="B116" s="105" t="s">
        <v>485</v>
      </c>
      <c r="C116" s="11" t="s">
        <v>50</v>
      </c>
      <c r="D116" s="112" t="s">
        <v>9</v>
      </c>
      <c r="E116" s="13" t="s">
        <v>9</v>
      </c>
      <c r="F116" s="11"/>
      <c r="G116" s="13" t="s">
        <v>49</v>
      </c>
      <c r="H116" s="42"/>
      <c r="J116" s="43">
        <v>-184.33</v>
      </c>
      <c r="K116" s="43">
        <f t="shared" si="3"/>
        <v>-184.33</v>
      </c>
      <c r="L116" s="43">
        <f t="shared" si="2"/>
        <v>22391.539999999997</v>
      </c>
      <c r="M116" s="18" t="s">
        <v>90</v>
      </c>
    </row>
    <row r="117" spans="1:16" x14ac:dyDescent="0.3">
      <c r="A117" s="12"/>
      <c r="B117" s="105" t="s">
        <v>485</v>
      </c>
      <c r="C117" s="11" t="s">
        <v>198</v>
      </c>
      <c r="D117" s="112" t="s">
        <v>512</v>
      </c>
      <c r="E117" s="13" t="s">
        <v>204</v>
      </c>
      <c r="F117" s="27"/>
      <c r="G117" s="33"/>
      <c r="H117" s="42">
        <v>16</v>
      </c>
      <c r="J117" s="43">
        <v>0</v>
      </c>
      <c r="K117" s="43">
        <f t="shared" si="3"/>
        <v>16</v>
      </c>
      <c r="L117" s="43">
        <f t="shared" si="2"/>
        <v>22407.539999999997</v>
      </c>
      <c r="M117" s="18" t="s">
        <v>90</v>
      </c>
    </row>
    <row r="118" spans="1:16" x14ac:dyDescent="0.3">
      <c r="B118" s="105" t="s">
        <v>485</v>
      </c>
      <c r="C118" s="11" t="str">
        <f>+C99</f>
        <v>Poppies</v>
      </c>
      <c r="D118" s="112" t="s">
        <v>12</v>
      </c>
      <c r="F118" s="11"/>
      <c r="G118" s="13" t="str">
        <f>+G99</f>
        <v>SO</v>
      </c>
      <c r="H118" s="42"/>
      <c r="J118" s="43">
        <v>-250</v>
      </c>
      <c r="K118" s="43">
        <f t="shared" si="3"/>
        <v>-250</v>
      </c>
      <c r="L118" s="43">
        <f t="shared" si="2"/>
        <v>22157.539999999997</v>
      </c>
      <c r="M118" s="18" t="s">
        <v>90</v>
      </c>
      <c r="N118" s="15" t="s">
        <v>56</v>
      </c>
      <c r="O118" s="16">
        <f>-J118</f>
        <v>250</v>
      </c>
      <c r="P118" s="15">
        <v>5</v>
      </c>
    </row>
    <row r="119" spans="1:16" x14ac:dyDescent="0.3">
      <c r="A119" s="12"/>
      <c r="B119" s="105" t="s">
        <v>485</v>
      </c>
      <c r="C119" s="11" t="str">
        <f>+C98</f>
        <v>United Utilities</v>
      </c>
      <c r="D119" s="112" t="s">
        <v>11</v>
      </c>
      <c r="E119" s="33"/>
      <c r="F119" s="27"/>
      <c r="G119" s="13" t="str">
        <f>+G98</f>
        <v>SO</v>
      </c>
      <c r="H119" s="42"/>
      <c r="J119" s="43">
        <v>-82.88</v>
      </c>
      <c r="K119" s="43">
        <f t="shared" si="3"/>
        <v>-82.88</v>
      </c>
      <c r="L119" s="43">
        <f t="shared" si="2"/>
        <v>22074.659999999996</v>
      </c>
      <c r="M119" s="18" t="s">
        <v>90</v>
      </c>
      <c r="N119" s="18" t="s">
        <v>57</v>
      </c>
      <c r="O119" s="16">
        <v>236</v>
      </c>
    </row>
    <row r="120" spans="1:16" x14ac:dyDescent="0.3">
      <c r="A120" s="12"/>
      <c r="B120" s="105"/>
      <c r="F120" s="11"/>
      <c r="L120" s="43">
        <f t="shared" si="2"/>
        <v>22074.659999999996</v>
      </c>
      <c r="M120" s="16">
        <f>L120+J72-I109</f>
        <v>22024.659999999996</v>
      </c>
    </row>
    <row r="121" spans="1:16" x14ac:dyDescent="0.3">
      <c r="A121" s="12"/>
      <c r="B121" s="105"/>
      <c r="C121" s="11"/>
      <c r="D121" s="112"/>
      <c r="F121" s="11"/>
      <c r="L121" s="43">
        <f t="shared" si="2"/>
        <v>22074.659999999996</v>
      </c>
      <c r="M121" s="16"/>
    </row>
    <row r="122" spans="1:16" x14ac:dyDescent="0.3">
      <c r="A122" s="28" t="s">
        <v>84</v>
      </c>
      <c r="B122" s="105" t="s">
        <v>486</v>
      </c>
      <c r="C122" s="11" t="s">
        <v>234</v>
      </c>
      <c r="D122" s="132" t="s">
        <v>623</v>
      </c>
      <c r="E122" s="13" t="s">
        <v>235</v>
      </c>
      <c r="F122" s="11"/>
      <c r="G122" s="13" t="s">
        <v>243</v>
      </c>
      <c r="J122" s="43">
        <v>-5.6</v>
      </c>
      <c r="K122" s="43">
        <f t="shared" si="3"/>
        <v>-5.6</v>
      </c>
      <c r="L122" s="43">
        <f t="shared" si="2"/>
        <v>22069.059999999998</v>
      </c>
      <c r="M122" s="18" t="s">
        <v>90</v>
      </c>
    </row>
    <row r="123" spans="1:16" x14ac:dyDescent="0.3">
      <c r="A123" s="12"/>
      <c r="B123" s="105" t="s">
        <v>486</v>
      </c>
      <c r="C123" s="11" t="s">
        <v>236</v>
      </c>
      <c r="D123" s="132" t="s">
        <v>623</v>
      </c>
      <c r="E123" s="13" t="s">
        <v>235</v>
      </c>
      <c r="F123" s="11"/>
      <c r="G123" s="13">
        <v>500115</v>
      </c>
      <c r="J123" s="43">
        <v>-39.42</v>
      </c>
      <c r="K123" s="43">
        <f t="shared" si="3"/>
        <v>-39.42</v>
      </c>
      <c r="L123" s="43">
        <f t="shared" si="2"/>
        <v>22029.64</v>
      </c>
      <c r="M123" s="18" t="s">
        <v>90</v>
      </c>
    </row>
    <row r="124" spans="1:16" x14ac:dyDescent="0.3">
      <c r="A124" s="12"/>
      <c r="B124" s="105" t="s">
        <v>486</v>
      </c>
      <c r="C124" s="11" t="s">
        <v>237</v>
      </c>
      <c r="D124" s="132" t="s">
        <v>623</v>
      </c>
      <c r="E124" s="33" t="s">
        <v>235</v>
      </c>
      <c r="F124" s="11"/>
      <c r="G124" s="13">
        <v>500116</v>
      </c>
      <c r="J124" s="43">
        <v>-55.68</v>
      </c>
      <c r="K124" s="43">
        <f t="shared" si="3"/>
        <v>-55.68</v>
      </c>
      <c r="L124" s="43">
        <f t="shared" si="2"/>
        <v>21973.96</v>
      </c>
      <c r="M124" s="18" t="s">
        <v>90</v>
      </c>
    </row>
    <row r="125" spans="1:16" x14ac:dyDescent="0.3">
      <c r="A125" s="29" t="s">
        <v>238</v>
      </c>
      <c r="B125" s="105" t="s">
        <v>486</v>
      </c>
      <c r="C125" s="11" t="s">
        <v>277</v>
      </c>
      <c r="D125" s="112" t="s">
        <v>512</v>
      </c>
      <c r="E125" s="33" t="s">
        <v>204</v>
      </c>
      <c r="F125" s="11"/>
      <c r="H125" s="42">
        <v>85</v>
      </c>
      <c r="J125" s="43">
        <v>0</v>
      </c>
      <c r="K125" s="43">
        <f t="shared" si="3"/>
        <v>85</v>
      </c>
      <c r="L125" s="43">
        <f t="shared" si="2"/>
        <v>22058.959999999999</v>
      </c>
    </row>
    <row r="126" spans="1:16" x14ac:dyDescent="0.3">
      <c r="A126" s="12"/>
      <c r="B126" s="105" t="s">
        <v>486</v>
      </c>
      <c r="C126" s="11" t="s">
        <v>277</v>
      </c>
      <c r="D126" s="112" t="s">
        <v>500</v>
      </c>
      <c r="E126" s="47" t="s">
        <v>241</v>
      </c>
      <c r="F126" s="35"/>
      <c r="G126" s="47"/>
      <c r="H126" s="49">
        <v>50</v>
      </c>
      <c r="J126" s="43">
        <v>0</v>
      </c>
      <c r="K126" s="43">
        <f t="shared" si="3"/>
        <v>50</v>
      </c>
      <c r="L126" s="43">
        <f t="shared" si="2"/>
        <v>22108.959999999999</v>
      </c>
    </row>
    <row r="127" spans="1:16" x14ac:dyDescent="0.3">
      <c r="A127" s="12"/>
      <c r="B127" s="105" t="s">
        <v>486</v>
      </c>
      <c r="C127" s="11" t="s">
        <v>240</v>
      </c>
      <c r="D127" s="112" t="s">
        <v>512</v>
      </c>
      <c r="E127" s="33" t="s">
        <v>204</v>
      </c>
      <c r="F127" s="11"/>
      <c r="H127" s="42">
        <v>76.5</v>
      </c>
      <c r="J127" s="43">
        <v>0</v>
      </c>
      <c r="K127" s="43">
        <f t="shared" si="3"/>
        <v>76.5</v>
      </c>
      <c r="L127" s="43">
        <f t="shared" si="2"/>
        <v>22185.46</v>
      </c>
    </row>
    <row r="128" spans="1:16" x14ac:dyDescent="0.3">
      <c r="A128" s="12"/>
      <c r="B128" s="105" t="s">
        <v>486</v>
      </c>
      <c r="C128" s="11" t="s">
        <v>239</v>
      </c>
      <c r="D128" s="112" t="s">
        <v>512</v>
      </c>
      <c r="E128" s="33" t="s">
        <v>204</v>
      </c>
      <c r="F128" s="11"/>
      <c r="H128" s="42">
        <v>51</v>
      </c>
      <c r="J128" s="43">
        <v>0</v>
      </c>
      <c r="K128" s="43">
        <f t="shared" si="3"/>
        <v>51</v>
      </c>
      <c r="L128" s="43">
        <f t="shared" si="2"/>
        <v>22236.46</v>
      </c>
    </row>
    <row r="129" spans="1:15" x14ac:dyDescent="0.3">
      <c r="A129" s="12"/>
      <c r="B129" s="105" t="s">
        <v>486</v>
      </c>
      <c r="C129" s="11" t="s">
        <v>239</v>
      </c>
      <c r="D129" s="112" t="s">
        <v>500</v>
      </c>
      <c r="E129" s="47" t="s">
        <v>242</v>
      </c>
      <c r="F129" s="35"/>
      <c r="G129" s="47"/>
      <c r="H129" s="49">
        <v>33</v>
      </c>
      <c r="J129" s="43">
        <v>0</v>
      </c>
      <c r="K129" s="43">
        <f t="shared" si="3"/>
        <v>33</v>
      </c>
      <c r="L129" s="43">
        <f t="shared" si="2"/>
        <v>22269.46</v>
      </c>
    </row>
    <row r="130" spans="1:15" x14ac:dyDescent="0.3">
      <c r="A130" s="12"/>
      <c r="B130" s="105" t="s">
        <v>486</v>
      </c>
      <c r="C130" s="238" t="s">
        <v>118</v>
      </c>
      <c r="D130" s="112" t="s">
        <v>512</v>
      </c>
      <c r="E130" s="33" t="s">
        <v>204</v>
      </c>
      <c r="F130" s="11"/>
      <c r="H130" s="42">
        <v>51</v>
      </c>
      <c r="I130" s="43">
        <f>SUM(H125:H130)</f>
        <v>346.5</v>
      </c>
      <c r="J130" s="43">
        <v>0</v>
      </c>
      <c r="K130" s="43">
        <f t="shared" si="3"/>
        <v>51</v>
      </c>
      <c r="L130" s="43">
        <f t="shared" si="2"/>
        <v>22320.46</v>
      </c>
      <c r="M130" s="18" t="s">
        <v>90</v>
      </c>
    </row>
    <row r="131" spans="1:15" x14ac:dyDescent="0.3">
      <c r="A131" s="12"/>
      <c r="B131" s="105" t="s">
        <v>486</v>
      </c>
      <c r="C131" s="11" t="str">
        <f>+C97</f>
        <v>Rentokil</v>
      </c>
      <c r="D131" s="112" t="s">
        <v>12</v>
      </c>
      <c r="E131" s="11" t="str">
        <f>+E97</f>
        <v>cleaning</v>
      </c>
      <c r="F131" s="11"/>
      <c r="G131" s="13" t="s">
        <v>49</v>
      </c>
      <c r="J131" s="43">
        <v>-67.44</v>
      </c>
      <c r="K131" s="43">
        <f t="shared" si="3"/>
        <v>-67.44</v>
      </c>
      <c r="L131" s="43">
        <f t="shared" si="2"/>
        <v>22253.02</v>
      </c>
      <c r="M131" s="18" t="s">
        <v>90</v>
      </c>
    </row>
    <row r="132" spans="1:15" x14ac:dyDescent="0.3">
      <c r="A132" s="12"/>
      <c r="B132" s="105" t="s">
        <v>486</v>
      </c>
      <c r="C132" s="11" t="s">
        <v>55</v>
      </c>
      <c r="D132" s="112" t="s">
        <v>12</v>
      </c>
      <c r="E132" s="33"/>
      <c r="F132" s="27"/>
      <c r="G132" s="13" t="s">
        <v>54</v>
      </c>
      <c r="H132" s="42"/>
      <c r="J132" s="43">
        <v>-250</v>
      </c>
      <c r="K132" s="43">
        <f t="shared" si="3"/>
        <v>-250</v>
      </c>
      <c r="L132" s="43">
        <f t="shared" si="2"/>
        <v>22003.02</v>
      </c>
      <c r="M132" s="18" t="s">
        <v>90</v>
      </c>
      <c r="N132" s="15" t="str">
        <f>+N118</f>
        <v>Payment</v>
      </c>
      <c r="O132" s="16">
        <f>-J132</f>
        <v>250</v>
      </c>
    </row>
    <row r="133" spans="1:15" x14ac:dyDescent="0.3">
      <c r="A133" s="12" t="s">
        <v>115</v>
      </c>
      <c r="B133" s="105" t="s">
        <v>486</v>
      </c>
      <c r="C133" s="15" t="s">
        <v>190</v>
      </c>
      <c r="D133" s="112" t="s">
        <v>515</v>
      </c>
      <c r="E133" s="13" t="s">
        <v>302</v>
      </c>
      <c r="F133" s="11"/>
      <c r="G133" s="13" t="s">
        <v>192</v>
      </c>
      <c r="J133" s="43">
        <v>-746.39</v>
      </c>
      <c r="K133" s="43">
        <f t="shared" ref="K133:K197" si="4">H133+J133</f>
        <v>-746.39</v>
      </c>
      <c r="L133" s="43">
        <f t="shared" si="2"/>
        <v>21256.63</v>
      </c>
      <c r="M133" s="16" t="s">
        <v>90</v>
      </c>
    </row>
    <row r="134" spans="1:15" x14ac:dyDescent="0.3">
      <c r="A134" s="12"/>
      <c r="B134" s="105" t="s">
        <v>486</v>
      </c>
      <c r="C134" s="11" t="s">
        <v>244</v>
      </c>
      <c r="D134" s="112" t="s">
        <v>513</v>
      </c>
      <c r="E134" s="55" t="s">
        <v>245</v>
      </c>
      <c r="F134" s="11"/>
      <c r="H134" s="51">
        <v>12</v>
      </c>
      <c r="J134" s="43">
        <v>0</v>
      </c>
      <c r="K134" s="43">
        <f t="shared" si="4"/>
        <v>12</v>
      </c>
      <c r="L134" s="43">
        <f t="shared" si="2"/>
        <v>21268.63</v>
      </c>
      <c r="M134" s="18" t="s">
        <v>90</v>
      </c>
    </row>
    <row r="135" spans="1:15" x14ac:dyDescent="0.3">
      <c r="A135" s="12"/>
      <c r="B135" s="105" t="s">
        <v>486</v>
      </c>
      <c r="C135" s="11" t="s">
        <v>58</v>
      </c>
      <c r="D135" s="112" t="s">
        <v>9</v>
      </c>
      <c r="E135" s="13" t="s">
        <v>9</v>
      </c>
      <c r="F135" s="11"/>
      <c r="G135" s="13" t="s">
        <v>49</v>
      </c>
      <c r="J135" s="43">
        <v>-204.27</v>
      </c>
      <c r="K135" s="43">
        <f t="shared" si="4"/>
        <v>-204.27</v>
      </c>
      <c r="L135" s="43">
        <f t="shared" si="2"/>
        <v>21064.36</v>
      </c>
      <c r="M135" s="18" t="s">
        <v>90</v>
      </c>
    </row>
    <row r="136" spans="1:15" x14ac:dyDescent="0.3">
      <c r="A136" s="12"/>
      <c r="B136" s="105" t="s">
        <v>486</v>
      </c>
      <c r="C136" s="11" t="s">
        <v>58</v>
      </c>
      <c r="D136" s="112" t="s">
        <v>8</v>
      </c>
      <c r="E136" s="13" t="s">
        <v>51</v>
      </c>
      <c r="F136" s="11"/>
      <c r="G136" s="13" t="s">
        <v>49</v>
      </c>
      <c r="J136" s="43">
        <v>-725.59</v>
      </c>
      <c r="K136" s="43">
        <f t="shared" si="4"/>
        <v>-725.59</v>
      </c>
      <c r="L136" s="43">
        <f t="shared" ref="L136:L147" si="5">L135+K136</f>
        <v>20338.77</v>
      </c>
      <c r="M136" s="18" t="s">
        <v>90</v>
      </c>
    </row>
    <row r="137" spans="1:15" x14ac:dyDescent="0.3">
      <c r="A137" s="12" t="s">
        <v>139</v>
      </c>
      <c r="B137" s="105" t="s">
        <v>486</v>
      </c>
      <c r="C137" s="11" t="s">
        <v>246</v>
      </c>
      <c r="D137" s="112" t="s">
        <v>500</v>
      </c>
      <c r="E137" s="47" t="s">
        <v>249</v>
      </c>
      <c r="F137" s="11"/>
      <c r="H137" s="49">
        <v>75</v>
      </c>
      <c r="J137" s="43">
        <v>0</v>
      </c>
      <c r="K137" s="43">
        <f t="shared" si="4"/>
        <v>75</v>
      </c>
      <c r="L137" s="43">
        <f t="shared" si="5"/>
        <v>20413.77</v>
      </c>
    </row>
    <row r="138" spans="1:15" x14ac:dyDescent="0.3">
      <c r="A138" s="12"/>
      <c r="B138" s="105" t="s">
        <v>486</v>
      </c>
      <c r="C138" s="11" t="s">
        <v>246</v>
      </c>
      <c r="D138" s="112" t="s">
        <v>512</v>
      </c>
      <c r="F138" s="11"/>
      <c r="H138" s="43">
        <v>68</v>
      </c>
      <c r="J138" s="43">
        <v>0</v>
      </c>
      <c r="K138" s="43">
        <f t="shared" si="4"/>
        <v>68</v>
      </c>
      <c r="L138" s="43">
        <f t="shared" si="5"/>
        <v>20481.77</v>
      </c>
    </row>
    <row r="139" spans="1:15" x14ac:dyDescent="0.3">
      <c r="A139" s="12"/>
      <c r="B139" s="105" t="s">
        <v>486</v>
      </c>
      <c r="C139" s="11" t="s">
        <v>247</v>
      </c>
      <c r="D139" s="112" t="s">
        <v>500</v>
      </c>
      <c r="E139" s="47" t="s">
        <v>250</v>
      </c>
      <c r="F139" s="11"/>
      <c r="H139" s="49">
        <v>50</v>
      </c>
      <c r="J139" s="43">
        <v>0</v>
      </c>
      <c r="K139" s="43">
        <f t="shared" si="4"/>
        <v>50</v>
      </c>
      <c r="L139" s="43">
        <f t="shared" si="5"/>
        <v>20531.77</v>
      </c>
    </row>
    <row r="140" spans="1:15" x14ac:dyDescent="0.3">
      <c r="A140" s="12"/>
      <c r="B140" s="105" t="s">
        <v>486</v>
      </c>
      <c r="C140" s="15" t="s">
        <v>122</v>
      </c>
      <c r="D140" s="112" t="s">
        <v>512</v>
      </c>
      <c r="F140" s="11"/>
      <c r="H140" s="43">
        <v>24</v>
      </c>
      <c r="J140" s="43">
        <v>0</v>
      </c>
      <c r="K140" s="43">
        <f t="shared" si="4"/>
        <v>24</v>
      </c>
      <c r="L140" s="43">
        <f t="shared" si="5"/>
        <v>20555.77</v>
      </c>
      <c r="M140" s="16"/>
    </row>
    <row r="141" spans="1:15" x14ac:dyDescent="0.3">
      <c r="A141" s="12"/>
      <c r="B141" s="105" t="s">
        <v>486</v>
      </c>
      <c r="C141" s="11" t="s">
        <v>248</v>
      </c>
      <c r="D141" s="112" t="s">
        <v>512</v>
      </c>
      <c r="F141" s="11"/>
      <c r="H141" s="43">
        <v>8</v>
      </c>
      <c r="I141" s="43">
        <f>SUM(H137:H141)</f>
        <v>225</v>
      </c>
      <c r="J141" s="43">
        <v>0</v>
      </c>
      <c r="K141" s="43">
        <f t="shared" si="4"/>
        <v>8</v>
      </c>
      <c r="L141" s="43">
        <f t="shared" si="5"/>
        <v>20563.77</v>
      </c>
      <c r="M141" s="18" t="s">
        <v>90</v>
      </c>
    </row>
    <row r="142" spans="1:15" x14ac:dyDescent="0.3">
      <c r="A142" s="39">
        <v>13</v>
      </c>
      <c r="B142" s="105" t="s">
        <v>486</v>
      </c>
      <c r="C142" s="11" t="s">
        <v>251</v>
      </c>
      <c r="D142" s="112" t="s">
        <v>318</v>
      </c>
      <c r="E142" s="33" t="s">
        <v>252</v>
      </c>
      <c r="F142" s="27"/>
      <c r="G142" s="33"/>
      <c r="H142" s="42">
        <v>8580</v>
      </c>
      <c r="J142" s="43">
        <v>0</v>
      </c>
      <c r="K142" s="43">
        <f t="shared" si="4"/>
        <v>8580</v>
      </c>
      <c r="L142" s="43">
        <f t="shared" si="5"/>
        <v>29143.77</v>
      </c>
      <c r="M142" s="18" t="s">
        <v>90</v>
      </c>
    </row>
    <row r="143" spans="1:15" x14ac:dyDescent="0.3">
      <c r="A143" s="12"/>
      <c r="B143" s="105" t="s">
        <v>486</v>
      </c>
      <c r="C143" s="11" t="s">
        <v>253</v>
      </c>
      <c r="D143" s="112" t="s">
        <v>13</v>
      </c>
      <c r="E143" s="33" t="s">
        <v>254</v>
      </c>
      <c r="F143" s="27"/>
      <c r="G143" s="33" t="s">
        <v>49</v>
      </c>
      <c r="H143" s="42"/>
      <c r="J143" s="43">
        <v>-35</v>
      </c>
      <c r="K143" s="43">
        <f t="shared" si="4"/>
        <v>-35</v>
      </c>
      <c r="L143" s="43">
        <f t="shared" si="5"/>
        <v>29108.77</v>
      </c>
      <c r="M143" s="18" t="s">
        <v>90</v>
      </c>
    </row>
    <row r="144" spans="1:15" x14ac:dyDescent="0.3">
      <c r="A144" s="12" t="s">
        <v>255</v>
      </c>
      <c r="B144" s="105" t="s">
        <v>486</v>
      </c>
      <c r="C144" s="13" t="s">
        <v>256</v>
      </c>
      <c r="D144" s="112" t="s">
        <v>500</v>
      </c>
      <c r="E144" s="47" t="s">
        <v>257</v>
      </c>
      <c r="F144" s="27"/>
      <c r="G144" s="33"/>
      <c r="H144" s="49">
        <v>50</v>
      </c>
      <c r="J144" s="43">
        <v>0</v>
      </c>
      <c r="K144" s="43">
        <f t="shared" si="4"/>
        <v>50</v>
      </c>
      <c r="L144" s="43">
        <f>L143+K144</f>
        <v>29158.77</v>
      </c>
    </row>
    <row r="145" spans="1:13" x14ac:dyDescent="0.3">
      <c r="A145" s="12"/>
      <c r="B145" s="105" t="s">
        <v>486</v>
      </c>
      <c r="C145" s="13" t="s">
        <v>256</v>
      </c>
      <c r="D145" s="112" t="s">
        <v>512</v>
      </c>
      <c r="E145" s="33" t="s">
        <v>204</v>
      </c>
      <c r="F145" s="27"/>
      <c r="G145" s="33"/>
      <c r="H145" s="42">
        <v>68</v>
      </c>
      <c r="I145" s="43">
        <f>SUM(H144:H145)</f>
        <v>118</v>
      </c>
      <c r="J145" s="43">
        <v>0</v>
      </c>
      <c r="K145" s="43">
        <f t="shared" si="4"/>
        <v>68</v>
      </c>
      <c r="L145" s="43">
        <f t="shared" si="5"/>
        <v>29226.77</v>
      </c>
      <c r="M145" s="18" t="s">
        <v>90</v>
      </c>
    </row>
    <row r="146" spans="1:13" x14ac:dyDescent="0.3">
      <c r="A146" s="12" t="s">
        <v>258</v>
      </c>
      <c r="B146" s="105" t="s">
        <v>486</v>
      </c>
      <c r="C146" s="15" t="s">
        <v>259</v>
      </c>
      <c r="D146" s="132" t="s">
        <v>623</v>
      </c>
      <c r="E146" s="33" t="s">
        <v>260</v>
      </c>
      <c r="F146" s="27"/>
      <c r="G146" s="33" t="s">
        <v>192</v>
      </c>
      <c r="H146" s="42"/>
      <c r="J146" s="43">
        <v>-325.26</v>
      </c>
      <c r="K146" s="43">
        <f t="shared" si="4"/>
        <v>-325.26</v>
      </c>
      <c r="L146" s="43">
        <f t="shared" si="5"/>
        <v>28901.510000000002</v>
      </c>
      <c r="M146" s="18" t="s">
        <v>90</v>
      </c>
    </row>
    <row r="147" spans="1:13" x14ac:dyDescent="0.3">
      <c r="B147" s="105" t="s">
        <v>486</v>
      </c>
      <c r="C147" s="11" t="s">
        <v>261</v>
      </c>
      <c r="D147" s="112" t="s">
        <v>86</v>
      </c>
      <c r="E147" s="33" t="s">
        <v>262</v>
      </c>
      <c r="F147" s="27"/>
      <c r="G147" s="33"/>
      <c r="H147" s="42">
        <v>15</v>
      </c>
      <c r="J147" s="43">
        <v>0</v>
      </c>
      <c r="K147" s="43">
        <f t="shared" si="4"/>
        <v>15</v>
      </c>
      <c r="L147" s="43">
        <f t="shared" si="5"/>
        <v>28916.510000000002</v>
      </c>
      <c r="M147" s="18" t="s">
        <v>90</v>
      </c>
    </row>
    <row r="148" spans="1:13" x14ac:dyDescent="0.3">
      <c r="A148" s="12"/>
      <c r="B148" s="105" t="s">
        <v>486</v>
      </c>
      <c r="C148" s="11" t="s">
        <v>275</v>
      </c>
      <c r="D148" s="112" t="s">
        <v>504</v>
      </c>
      <c r="E148" s="47" t="s">
        <v>276</v>
      </c>
      <c r="F148" s="35"/>
      <c r="G148" s="33">
        <v>500600</v>
      </c>
      <c r="H148" s="42"/>
      <c r="J148" s="43">
        <v>-50</v>
      </c>
      <c r="K148" s="43">
        <f t="shared" si="4"/>
        <v>-50</v>
      </c>
      <c r="L148" s="43">
        <f t="shared" ref="L148:L196" si="6">L147+K148</f>
        <v>28866.510000000002</v>
      </c>
      <c r="M148" s="16" t="s">
        <v>90</v>
      </c>
    </row>
    <row r="149" spans="1:13" x14ac:dyDescent="0.3">
      <c r="A149" s="39">
        <v>30</v>
      </c>
      <c r="B149" s="105" t="s">
        <v>486</v>
      </c>
      <c r="C149" s="11" t="s">
        <v>263</v>
      </c>
      <c r="D149" s="112" t="s">
        <v>512</v>
      </c>
      <c r="E149" s="33" t="s">
        <v>204</v>
      </c>
      <c r="F149" s="27"/>
      <c r="G149" s="33"/>
      <c r="H149" s="42">
        <v>51</v>
      </c>
      <c r="J149" s="43">
        <v>0</v>
      </c>
      <c r="K149" s="43">
        <f t="shared" si="4"/>
        <v>51</v>
      </c>
      <c r="L149" s="43">
        <f t="shared" si="6"/>
        <v>28917.510000000002</v>
      </c>
    </row>
    <row r="150" spans="1:13" x14ac:dyDescent="0.3">
      <c r="B150" s="105" t="s">
        <v>486</v>
      </c>
      <c r="C150" s="11" t="s">
        <v>264</v>
      </c>
      <c r="D150" s="112" t="s">
        <v>512</v>
      </c>
      <c r="E150" s="33" t="s">
        <v>204</v>
      </c>
      <c r="F150" s="27"/>
      <c r="G150" s="33"/>
      <c r="H150" s="42">
        <v>365</v>
      </c>
      <c r="I150" s="43">
        <f>SUM(H149:H150)</f>
        <v>416</v>
      </c>
      <c r="J150" s="43">
        <v>0</v>
      </c>
      <c r="K150" s="43">
        <f t="shared" si="4"/>
        <v>365</v>
      </c>
      <c r="L150" s="43">
        <f t="shared" si="6"/>
        <v>29282.510000000002</v>
      </c>
      <c r="M150" s="16" t="s">
        <v>90</v>
      </c>
    </row>
    <row r="151" spans="1:13" x14ac:dyDescent="0.3">
      <c r="A151" s="12"/>
      <c r="B151" s="105" t="s">
        <v>486</v>
      </c>
      <c r="C151" s="11" t="s">
        <v>265</v>
      </c>
      <c r="D151" s="112" t="s">
        <v>513</v>
      </c>
      <c r="E151" s="55" t="s">
        <v>177</v>
      </c>
      <c r="F151" s="27"/>
      <c r="G151" s="33"/>
      <c r="H151" s="51">
        <v>221</v>
      </c>
      <c r="J151" s="43">
        <v>0</v>
      </c>
      <c r="K151" s="43">
        <f t="shared" si="4"/>
        <v>221</v>
      </c>
      <c r="L151" s="43">
        <f t="shared" si="6"/>
        <v>29503.510000000002</v>
      </c>
      <c r="M151" s="18" t="s">
        <v>90</v>
      </c>
    </row>
    <row r="152" spans="1:13" x14ac:dyDescent="0.3">
      <c r="A152" s="12"/>
      <c r="B152" s="105" t="s">
        <v>486</v>
      </c>
      <c r="C152" s="11" t="s">
        <v>53</v>
      </c>
      <c r="D152" s="112" t="s">
        <v>11</v>
      </c>
      <c r="E152" s="33" t="s">
        <v>11</v>
      </c>
      <c r="F152" s="27"/>
      <c r="G152" s="33" t="s">
        <v>49</v>
      </c>
      <c r="H152" s="42"/>
      <c r="J152" s="43">
        <v>-82.88</v>
      </c>
      <c r="K152" s="43">
        <f t="shared" si="4"/>
        <v>-82.88</v>
      </c>
      <c r="L152" s="43">
        <f t="shared" si="6"/>
        <v>29420.63</v>
      </c>
      <c r="M152" s="16" t="s">
        <v>90</v>
      </c>
    </row>
    <row r="153" spans="1:13" x14ac:dyDescent="0.3">
      <c r="A153" s="12"/>
      <c r="B153" s="105" t="s">
        <v>486</v>
      </c>
      <c r="C153" s="11" t="s">
        <v>517</v>
      </c>
      <c r="D153" s="132" t="s">
        <v>623</v>
      </c>
      <c r="E153" s="33"/>
      <c r="F153" s="27"/>
      <c r="G153" s="33"/>
      <c r="H153" s="42">
        <v>89</v>
      </c>
      <c r="K153" s="43">
        <f t="shared" si="4"/>
        <v>89</v>
      </c>
      <c r="L153" s="43">
        <f t="shared" si="6"/>
        <v>29509.63</v>
      </c>
      <c r="M153" s="16"/>
    </row>
    <row r="154" spans="1:13" x14ac:dyDescent="0.3">
      <c r="A154" s="12"/>
      <c r="B154" s="105" t="s">
        <v>486</v>
      </c>
      <c r="C154" s="11" t="s">
        <v>517</v>
      </c>
      <c r="D154" s="112" t="s">
        <v>13</v>
      </c>
      <c r="E154" s="33"/>
      <c r="F154" s="27"/>
      <c r="G154" s="33"/>
      <c r="H154" s="42"/>
      <c r="I154" s="43">
        <v>-89</v>
      </c>
      <c r="J154" s="43">
        <v>-89</v>
      </c>
      <c r="K154" s="43">
        <f t="shared" si="4"/>
        <v>-89</v>
      </c>
      <c r="L154" s="43">
        <f t="shared" si="6"/>
        <v>29420.63</v>
      </c>
      <c r="M154" s="16"/>
    </row>
    <row r="155" spans="1:13" x14ac:dyDescent="0.3">
      <c r="A155" s="28" t="s">
        <v>88</v>
      </c>
      <c r="B155" s="105"/>
      <c r="C155" s="11"/>
      <c r="D155" s="112"/>
      <c r="E155" s="33"/>
      <c r="F155" s="27"/>
      <c r="G155" s="33"/>
      <c r="H155" s="42"/>
      <c r="L155" s="43">
        <f t="shared" si="6"/>
        <v>29420.63</v>
      </c>
      <c r="M155" s="16">
        <f>L155+J72</f>
        <v>29370.63</v>
      </c>
    </row>
    <row r="156" spans="1:13" x14ac:dyDescent="0.3">
      <c r="B156" s="106" t="s">
        <v>487</v>
      </c>
      <c r="C156" s="11" t="s">
        <v>267</v>
      </c>
      <c r="D156" s="112" t="s">
        <v>500</v>
      </c>
      <c r="E156" s="47" t="s">
        <v>269</v>
      </c>
      <c r="F156" s="27"/>
      <c r="G156" s="33"/>
      <c r="H156" s="49">
        <v>50</v>
      </c>
      <c r="J156" s="43">
        <v>0</v>
      </c>
      <c r="K156" s="43">
        <f t="shared" si="4"/>
        <v>50</v>
      </c>
      <c r="L156" s="43">
        <f t="shared" si="6"/>
        <v>29470.63</v>
      </c>
    </row>
    <row r="157" spans="1:13" x14ac:dyDescent="0.3">
      <c r="B157" s="106" t="s">
        <v>487</v>
      </c>
      <c r="C157" s="11" t="s">
        <v>267</v>
      </c>
      <c r="D157" s="112" t="s">
        <v>512</v>
      </c>
      <c r="E157" s="33"/>
      <c r="F157" s="27"/>
      <c r="G157" s="33"/>
      <c r="H157" s="42">
        <v>51</v>
      </c>
      <c r="J157" s="43">
        <v>0</v>
      </c>
      <c r="K157" s="43">
        <f t="shared" si="4"/>
        <v>51</v>
      </c>
      <c r="L157" s="43">
        <f t="shared" si="6"/>
        <v>29521.63</v>
      </c>
    </row>
    <row r="158" spans="1:13" x14ac:dyDescent="0.3">
      <c r="B158" s="106" t="s">
        <v>487</v>
      </c>
      <c r="C158" s="11" t="s">
        <v>268</v>
      </c>
      <c r="D158" s="112" t="s">
        <v>512</v>
      </c>
      <c r="E158" s="33"/>
      <c r="F158" s="27"/>
      <c r="G158" s="33"/>
      <c r="H158" s="42">
        <v>48</v>
      </c>
      <c r="J158" s="43">
        <v>0</v>
      </c>
      <c r="K158" s="43">
        <f t="shared" si="4"/>
        <v>48</v>
      </c>
      <c r="L158" s="43">
        <f t="shared" si="6"/>
        <v>29569.63</v>
      </c>
    </row>
    <row r="159" spans="1:13" x14ac:dyDescent="0.3">
      <c r="B159" s="106" t="s">
        <v>487</v>
      </c>
      <c r="C159" s="238" t="s">
        <v>118</v>
      </c>
      <c r="D159" s="112" t="s">
        <v>512</v>
      </c>
      <c r="E159" s="33"/>
      <c r="F159" s="27"/>
      <c r="G159" s="33"/>
      <c r="H159" s="42">
        <v>51</v>
      </c>
      <c r="J159" s="43">
        <v>0</v>
      </c>
      <c r="K159" s="43">
        <f t="shared" si="4"/>
        <v>51</v>
      </c>
      <c r="L159" s="43">
        <f t="shared" si="6"/>
        <v>29620.63</v>
      </c>
    </row>
    <row r="160" spans="1:13" x14ac:dyDescent="0.3">
      <c r="B160" s="106" t="s">
        <v>487</v>
      </c>
      <c r="C160" s="11" t="s">
        <v>266</v>
      </c>
      <c r="D160" s="112" t="s">
        <v>512</v>
      </c>
      <c r="E160" s="33"/>
      <c r="F160" s="27"/>
      <c r="G160" s="33"/>
      <c r="H160" s="42">
        <v>8</v>
      </c>
      <c r="I160" s="43">
        <f>SUM(H156:H160)</f>
        <v>208</v>
      </c>
      <c r="J160" s="43">
        <v>0</v>
      </c>
      <c r="K160" s="43">
        <f t="shared" si="4"/>
        <v>8</v>
      </c>
      <c r="L160" s="43">
        <f t="shared" si="6"/>
        <v>29628.63</v>
      </c>
      <c r="M160" s="18" t="s">
        <v>90</v>
      </c>
    </row>
    <row r="161" spans="1:16" x14ac:dyDescent="0.3">
      <c r="B161" s="106" t="s">
        <v>487</v>
      </c>
      <c r="C161" s="11" t="s">
        <v>246</v>
      </c>
      <c r="D161" s="112" t="s">
        <v>504</v>
      </c>
      <c r="E161" s="47" t="s">
        <v>271</v>
      </c>
      <c r="F161" s="35"/>
      <c r="G161" s="33">
        <v>500152</v>
      </c>
      <c r="H161" s="42"/>
      <c r="J161" s="43">
        <v>-75</v>
      </c>
      <c r="K161" s="43">
        <f t="shared" si="4"/>
        <v>-75</v>
      </c>
      <c r="L161" s="43">
        <f t="shared" si="6"/>
        <v>29553.63</v>
      </c>
      <c r="M161" s="18" t="s">
        <v>90</v>
      </c>
    </row>
    <row r="162" spans="1:16" x14ac:dyDescent="0.3">
      <c r="B162" s="106" t="s">
        <v>487</v>
      </c>
      <c r="C162" s="11" t="s">
        <v>270</v>
      </c>
      <c r="D162" s="112" t="s">
        <v>504</v>
      </c>
      <c r="E162" s="47" t="s">
        <v>278</v>
      </c>
      <c r="F162" s="35"/>
      <c r="G162" s="33">
        <v>500162</v>
      </c>
      <c r="H162" s="42"/>
      <c r="J162" s="43">
        <v>-50</v>
      </c>
      <c r="K162" s="43">
        <f t="shared" si="4"/>
        <v>-50</v>
      </c>
      <c r="L162" s="43">
        <f t="shared" si="6"/>
        <v>29503.63</v>
      </c>
      <c r="M162" s="18" t="s">
        <v>90</v>
      </c>
    </row>
    <row r="163" spans="1:16" x14ac:dyDescent="0.3">
      <c r="A163" s="12"/>
      <c r="B163" s="106" t="s">
        <v>487</v>
      </c>
      <c r="C163" s="11" t="s">
        <v>270</v>
      </c>
      <c r="D163" s="112" t="s">
        <v>512</v>
      </c>
      <c r="E163" s="47" t="s">
        <v>410</v>
      </c>
      <c r="H163" s="43">
        <v>17</v>
      </c>
      <c r="J163" s="43">
        <v>0</v>
      </c>
      <c r="K163" s="43">
        <f t="shared" si="4"/>
        <v>17</v>
      </c>
      <c r="L163" s="43">
        <f t="shared" si="6"/>
        <v>29520.63</v>
      </c>
      <c r="M163" s="18" t="s">
        <v>90</v>
      </c>
    </row>
    <row r="164" spans="1:16" x14ac:dyDescent="0.3">
      <c r="B164" s="106" t="s">
        <v>487</v>
      </c>
      <c r="C164" s="11" t="s">
        <v>239</v>
      </c>
      <c r="D164" s="112" t="s">
        <v>504</v>
      </c>
      <c r="E164" s="47" t="s">
        <v>323</v>
      </c>
      <c r="F164" s="35"/>
      <c r="G164" s="13">
        <v>500151</v>
      </c>
      <c r="J164" s="43">
        <v>-33</v>
      </c>
      <c r="K164" s="43">
        <f t="shared" si="4"/>
        <v>-33</v>
      </c>
      <c r="L164" s="43">
        <f t="shared" si="6"/>
        <v>29487.63</v>
      </c>
      <c r="M164" s="18" t="s">
        <v>90</v>
      </c>
    </row>
    <row r="165" spans="1:16" x14ac:dyDescent="0.3">
      <c r="B165" s="106" t="s">
        <v>487</v>
      </c>
      <c r="C165" s="11" t="s">
        <v>50</v>
      </c>
      <c r="D165" s="112" t="s">
        <v>8</v>
      </c>
      <c r="E165" s="13" t="s">
        <v>8</v>
      </c>
      <c r="F165" s="11"/>
      <c r="G165" s="13" t="s">
        <v>49</v>
      </c>
      <c r="J165" s="43">
        <v>-109.08</v>
      </c>
      <c r="K165" s="43">
        <f t="shared" si="4"/>
        <v>-109.08</v>
      </c>
      <c r="L165" s="43">
        <f t="shared" si="6"/>
        <v>29378.55</v>
      </c>
      <c r="M165" s="18" t="s">
        <v>90</v>
      </c>
    </row>
    <row r="166" spans="1:16" x14ac:dyDescent="0.3">
      <c r="B166" s="106" t="s">
        <v>487</v>
      </c>
      <c r="C166" s="11" t="s">
        <v>48</v>
      </c>
      <c r="D166" s="112" t="s">
        <v>12</v>
      </c>
      <c r="E166" s="13" t="s">
        <v>12</v>
      </c>
      <c r="F166" s="17"/>
      <c r="G166" s="13" t="s">
        <v>49</v>
      </c>
      <c r="J166" s="43">
        <v>-67.44</v>
      </c>
      <c r="K166" s="43">
        <f t="shared" si="4"/>
        <v>-67.44</v>
      </c>
      <c r="L166" s="43">
        <f t="shared" si="6"/>
        <v>29311.11</v>
      </c>
      <c r="M166" s="18" t="s">
        <v>90</v>
      </c>
    </row>
    <row r="167" spans="1:16" x14ac:dyDescent="0.3">
      <c r="A167" s="12"/>
      <c r="B167" s="106" t="s">
        <v>487</v>
      </c>
      <c r="C167" s="11" t="s">
        <v>53</v>
      </c>
      <c r="D167" s="112" t="s">
        <v>11</v>
      </c>
      <c r="F167" s="11"/>
      <c r="J167" s="43">
        <v>-82.88</v>
      </c>
      <c r="K167" s="43">
        <f t="shared" si="4"/>
        <v>-82.88</v>
      </c>
      <c r="L167" s="43">
        <f t="shared" si="6"/>
        <v>29228.23</v>
      </c>
      <c r="M167" s="18" t="s">
        <v>90</v>
      </c>
    </row>
    <row r="168" spans="1:16" x14ac:dyDescent="0.3">
      <c r="A168" s="12"/>
      <c r="B168" s="106" t="s">
        <v>487</v>
      </c>
      <c r="C168" s="11" t="s">
        <v>55</v>
      </c>
      <c r="D168" s="112" t="s">
        <v>12</v>
      </c>
      <c r="F168" s="11"/>
      <c r="G168" s="13" t="str">
        <f>+G133</f>
        <v>Direct</v>
      </c>
      <c r="J168" s="43">
        <v>-250</v>
      </c>
      <c r="K168" s="43">
        <f t="shared" si="4"/>
        <v>-250</v>
      </c>
      <c r="L168" s="43">
        <f t="shared" si="6"/>
        <v>28978.23</v>
      </c>
      <c r="M168" s="16" t="s">
        <v>90</v>
      </c>
      <c r="N168" s="15" t="str">
        <f>+N132</f>
        <v>Payment</v>
      </c>
      <c r="O168" s="16">
        <f>-J168</f>
        <v>250</v>
      </c>
    </row>
    <row r="169" spans="1:16" x14ac:dyDescent="0.3">
      <c r="A169" s="12"/>
      <c r="B169" s="106" t="s">
        <v>487</v>
      </c>
      <c r="C169" s="11" t="s">
        <v>279</v>
      </c>
      <c r="D169" s="112" t="s">
        <v>86</v>
      </c>
      <c r="E169" s="13" t="s">
        <v>86</v>
      </c>
      <c r="F169" s="11"/>
      <c r="H169" s="43">
        <v>15</v>
      </c>
      <c r="J169" s="43">
        <v>0</v>
      </c>
      <c r="K169" s="43">
        <f t="shared" si="4"/>
        <v>15</v>
      </c>
      <c r="L169" s="43">
        <f t="shared" si="6"/>
        <v>28993.23</v>
      </c>
      <c r="M169" s="16" t="s">
        <v>90</v>
      </c>
      <c r="N169" s="18" t="s">
        <v>57</v>
      </c>
      <c r="O169" s="16">
        <v>118</v>
      </c>
      <c r="P169" s="15">
        <v>7</v>
      </c>
    </row>
    <row r="170" spans="1:16" x14ac:dyDescent="0.3">
      <c r="B170" s="106" t="s">
        <v>487</v>
      </c>
      <c r="C170" s="11" t="s">
        <v>281</v>
      </c>
      <c r="D170" s="112" t="s">
        <v>86</v>
      </c>
      <c r="E170" s="13" t="s">
        <v>86</v>
      </c>
      <c r="F170" s="27"/>
      <c r="G170" s="33"/>
      <c r="H170" s="42">
        <v>15</v>
      </c>
      <c r="J170" s="43">
        <v>0</v>
      </c>
      <c r="K170" s="43">
        <f t="shared" si="4"/>
        <v>15</v>
      </c>
      <c r="L170" s="43">
        <f t="shared" si="6"/>
        <v>29008.23</v>
      </c>
    </row>
    <row r="171" spans="1:16" x14ac:dyDescent="0.3">
      <c r="A171" s="12"/>
      <c r="B171" s="106" t="s">
        <v>487</v>
      </c>
      <c r="C171" s="11" t="s">
        <v>282</v>
      </c>
      <c r="D171" s="112" t="s">
        <v>86</v>
      </c>
      <c r="E171" s="13" t="s">
        <v>86</v>
      </c>
      <c r="F171" s="27"/>
      <c r="G171" s="33"/>
      <c r="H171" s="42">
        <v>15</v>
      </c>
      <c r="J171" s="43">
        <v>0</v>
      </c>
      <c r="K171" s="43">
        <f t="shared" si="4"/>
        <v>15</v>
      </c>
      <c r="L171" s="43">
        <f t="shared" si="6"/>
        <v>29023.23</v>
      </c>
      <c r="N171" s="56" t="s">
        <v>305</v>
      </c>
    </row>
    <row r="172" spans="1:16" x14ac:dyDescent="0.3">
      <c r="B172" s="106" t="s">
        <v>487</v>
      </c>
      <c r="C172" s="11" t="s">
        <v>283</v>
      </c>
      <c r="D172" s="112" t="s">
        <v>86</v>
      </c>
      <c r="E172" s="13" t="s">
        <v>86</v>
      </c>
      <c r="F172" s="52"/>
      <c r="G172" s="33"/>
      <c r="H172" s="42">
        <v>15</v>
      </c>
      <c r="J172" s="43">
        <v>0</v>
      </c>
      <c r="K172" s="43">
        <f t="shared" si="4"/>
        <v>15</v>
      </c>
      <c r="L172" s="43">
        <f t="shared" si="6"/>
        <v>29038.23</v>
      </c>
    </row>
    <row r="173" spans="1:16" x14ac:dyDescent="0.3">
      <c r="A173" s="12"/>
      <c r="B173" s="106" t="s">
        <v>487</v>
      </c>
      <c r="C173" s="11" t="s">
        <v>280</v>
      </c>
      <c r="D173" s="112" t="s">
        <v>86</v>
      </c>
      <c r="E173" s="13" t="s">
        <v>86</v>
      </c>
      <c r="F173" s="27"/>
      <c r="G173" s="33"/>
      <c r="H173" s="42">
        <v>15</v>
      </c>
      <c r="I173" s="43">
        <f>SUM(H170:H173)</f>
        <v>60</v>
      </c>
      <c r="J173" s="43">
        <v>0</v>
      </c>
      <c r="K173" s="43">
        <f t="shared" si="4"/>
        <v>15</v>
      </c>
      <c r="L173" s="43">
        <f t="shared" si="6"/>
        <v>29053.23</v>
      </c>
      <c r="M173" s="18" t="s">
        <v>90</v>
      </c>
    </row>
    <row r="174" spans="1:16" x14ac:dyDescent="0.3">
      <c r="B174" s="106" t="s">
        <v>487</v>
      </c>
      <c r="C174" s="11" t="s">
        <v>58</v>
      </c>
      <c r="D174" s="112" t="s">
        <v>9</v>
      </c>
      <c r="E174" s="13" t="s">
        <v>52</v>
      </c>
      <c r="F174" s="27"/>
      <c r="G174" s="33" t="s">
        <v>49</v>
      </c>
      <c r="H174" s="42"/>
      <c r="J174" s="43">
        <v>-151.16999999999999</v>
      </c>
      <c r="K174" s="43">
        <f t="shared" si="4"/>
        <v>-151.16999999999999</v>
      </c>
      <c r="L174" s="43">
        <f t="shared" si="6"/>
        <v>28902.06</v>
      </c>
      <c r="M174" s="18" t="s">
        <v>90</v>
      </c>
    </row>
    <row r="175" spans="1:16" x14ac:dyDescent="0.3">
      <c r="B175" s="106" t="s">
        <v>487</v>
      </c>
      <c r="C175" s="11" t="s">
        <v>284</v>
      </c>
      <c r="D175" s="112" t="s">
        <v>512</v>
      </c>
      <c r="E175" s="33" t="s">
        <v>285</v>
      </c>
      <c r="F175" s="27"/>
      <c r="G175" s="33" t="s">
        <v>192</v>
      </c>
      <c r="H175" s="42">
        <v>300</v>
      </c>
      <c r="J175" s="43">
        <v>0</v>
      </c>
      <c r="K175" s="43">
        <f t="shared" si="4"/>
        <v>300</v>
      </c>
      <c r="L175" s="43">
        <f t="shared" si="6"/>
        <v>29202.06</v>
      </c>
      <c r="M175" s="18" t="s">
        <v>90</v>
      </c>
    </row>
    <row r="176" spans="1:16" x14ac:dyDescent="0.3">
      <c r="B176" s="106" t="s">
        <v>487</v>
      </c>
      <c r="C176" s="11" t="s">
        <v>286</v>
      </c>
      <c r="D176" s="112" t="s">
        <v>518</v>
      </c>
      <c r="E176" s="33" t="s">
        <v>287</v>
      </c>
      <c r="F176" s="27"/>
      <c r="G176" s="33" t="s">
        <v>192</v>
      </c>
      <c r="H176" s="42"/>
      <c r="J176" s="43">
        <v>-179.88</v>
      </c>
      <c r="K176" s="43">
        <f t="shared" si="4"/>
        <v>-179.88</v>
      </c>
      <c r="L176" s="43">
        <f t="shared" si="6"/>
        <v>29022.18</v>
      </c>
      <c r="M176" s="18" t="s">
        <v>90</v>
      </c>
    </row>
    <row r="177" spans="1:13" x14ac:dyDescent="0.3">
      <c r="A177" s="12"/>
      <c r="B177" s="106" t="s">
        <v>487</v>
      </c>
      <c r="C177" s="11" t="s">
        <v>290</v>
      </c>
      <c r="D177" s="112" t="s">
        <v>504</v>
      </c>
      <c r="E177" s="47" t="s">
        <v>289</v>
      </c>
      <c r="F177" s="27"/>
      <c r="G177" s="33">
        <v>500154</v>
      </c>
      <c r="H177" s="42"/>
      <c r="J177" s="43">
        <v>-50</v>
      </c>
      <c r="K177" s="43">
        <f t="shared" si="4"/>
        <v>-50</v>
      </c>
      <c r="L177" s="43">
        <f t="shared" si="6"/>
        <v>28972.18</v>
      </c>
      <c r="M177" s="18" t="s">
        <v>90</v>
      </c>
    </row>
    <row r="178" spans="1:13" x14ac:dyDescent="0.3">
      <c r="A178" s="12"/>
      <c r="B178" s="106" t="s">
        <v>487</v>
      </c>
      <c r="C178" s="13" t="s">
        <v>256</v>
      </c>
      <c r="D178" s="112" t="s">
        <v>504</v>
      </c>
      <c r="E178" s="47" t="s">
        <v>292</v>
      </c>
      <c r="F178" s="35"/>
      <c r="G178" s="33">
        <v>500155</v>
      </c>
      <c r="H178" s="42"/>
      <c r="J178" s="43">
        <v>-50</v>
      </c>
      <c r="K178" s="43">
        <f t="shared" si="4"/>
        <v>-50</v>
      </c>
      <c r="L178" s="43">
        <f t="shared" si="6"/>
        <v>28922.18</v>
      </c>
      <c r="M178" s="18" t="s">
        <v>90</v>
      </c>
    </row>
    <row r="179" spans="1:13" x14ac:dyDescent="0.3">
      <c r="A179" s="12"/>
      <c r="B179" s="106" t="s">
        <v>487</v>
      </c>
      <c r="C179" s="13" t="s">
        <v>256</v>
      </c>
      <c r="D179" s="117" t="s">
        <v>512</v>
      </c>
      <c r="E179" s="13" t="s">
        <v>291</v>
      </c>
      <c r="F179" s="27"/>
      <c r="G179" s="33">
        <v>500155</v>
      </c>
      <c r="H179" s="42"/>
      <c r="J179" s="43">
        <v>-25</v>
      </c>
      <c r="K179" s="43">
        <f t="shared" si="4"/>
        <v>-25</v>
      </c>
      <c r="L179" s="43">
        <f t="shared" si="6"/>
        <v>28897.18</v>
      </c>
      <c r="M179" s="18" t="s">
        <v>90</v>
      </c>
    </row>
    <row r="180" spans="1:13" x14ac:dyDescent="0.3">
      <c r="A180" s="12"/>
      <c r="B180" s="106" t="s">
        <v>487</v>
      </c>
      <c r="C180" s="238" t="s">
        <v>118</v>
      </c>
      <c r="D180" s="117" t="s">
        <v>512</v>
      </c>
      <c r="E180" s="33" t="s">
        <v>204</v>
      </c>
      <c r="F180" s="27"/>
      <c r="G180" s="33"/>
      <c r="H180" s="42">
        <v>68</v>
      </c>
      <c r="J180" s="43">
        <v>0</v>
      </c>
      <c r="K180" s="43">
        <f t="shared" si="4"/>
        <v>68</v>
      </c>
      <c r="L180" s="43">
        <f t="shared" si="6"/>
        <v>28965.18</v>
      </c>
    </row>
    <row r="181" spans="1:13" x14ac:dyDescent="0.3">
      <c r="A181" s="12"/>
      <c r="B181" s="106" t="s">
        <v>487</v>
      </c>
      <c r="C181" s="11" t="s">
        <v>122</v>
      </c>
      <c r="D181" s="117" t="s">
        <v>512</v>
      </c>
      <c r="E181" s="33" t="s">
        <v>204</v>
      </c>
      <c r="F181" s="27"/>
      <c r="G181" s="33"/>
      <c r="H181" s="42">
        <v>16</v>
      </c>
      <c r="J181" s="43">
        <v>0</v>
      </c>
      <c r="K181" s="43">
        <f t="shared" si="4"/>
        <v>16</v>
      </c>
      <c r="L181" s="43">
        <f t="shared" si="6"/>
        <v>28981.18</v>
      </c>
    </row>
    <row r="182" spans="1:13" x14ac:dyDescent="0.3">
      <c r="A182" s="12"/>
      <c r="B182" s="106" t="s">
        <v>487</v>
      </c>
      <c r="C182" s="11" t="s">
        <v>293</v>
      </c>
      <c r="D182" s="117" t="s">
        <v>512</v>
      </c>
      <c r="E182" s="33" t="s">
        <v>204</v>
      </c>
      <c r="F182" s="27"/>
      <c r="G182" s="33"/>
      <c r="H182" s="42">
        <v>76.5</v>
      </c>
      <c r="J182" s="43">
        <v>0</v>
      </c>
      <c r="K182" s="43">
        <f t="shared" si="4"/>
        <v>76.5</v>
      </c>
      <c r="L182" s="43">
        <f t="shared" si="6"/>
        <v>29057.68</v>
      </c>
    </row>
    <row r="183" spans="1:13" x14ac:dyDescent="0.3">
      <c r="A183" s="12"/>
      <c r="B183" s="106" t="s">
        <v>487</v>
      </c>
      <c r="C183" s="11" t="s">
        <v>294</v>
      </c>
      <c r="D183" s="117" t="s">
        <v>512</v>
      </c>
      <c r="E183" s="33" t="s">
        <v>204</v>
      </c>
      <c r="F183" s="27"/>
      <c r="G183" s="33"/>
      <c r="H183" s="42">
        <v>51</v>
      </c>
      <c r="J183" s="43">
        <v>0</v>
      </c>
      <c r="K183" s="43">
        <f t="shared" si="4"/>
        <v>51</v>
      </c>
      <c r="L183" s="43">
        <f t="shared" si="6"/>
        <v>29108.68</v>
      </c>
    </row>
    <row r="184" spans="1:13" x14ac:dyDescent="0.3">
      <c r="B184" s="106" t="s">
        <v>487</v>
      </c>
      <c r="C184" s="15" t="s">
        <v>295</v>
      </c>
      <c r="D184" s="117" t="s">
        <v>512</v>
      </c>
      <c r="E184" s="33" t="s">
        <v>204</v>
      </c>
      <c r="F184" s="11"/>
      <c r="H184" s="43">
        <v>50</v>
      </c>
      <c r="J184" s="43">
        <v>0</v>
      </c>
      <c r="K184" s="43">
        <f t="shared" si="4"/>
        <v>50</v>
      </c>
      <c r="L184" s="43">
        <f t="shared" si="6"/>
        <v>29158.68</v>
      </c>
    </row>
    <row r="185" spans="1:13" x14ac:dyDescent="0.3">
      <c r="A185" s="12"/>
      <c r="B185" s="106" t="s">
        <v>487</v>
      </c>
      <c r="C185" s="15" t="s">
        <v>296</v>
      </c>
      <c r="D185" s="117" t="s">
        <v>512</v>
      </c>
      <c r="E185" s="33" t="s">
        <v>204</v>
      </c>
      <c r="F185" s="11"/>
      <c r="H185" s="43">
        <v>40</v>
      </c>
      <c r="I185" s="43">
        <f>SUM(H180:H185)</f>
        <v>301.5</v>
      </c>
      <c r="J185" s="43">
        <v>0</v>
      </c>
      <c r="K185" s="43">
        <f t="shared" si="4"/>
        <v>40</v>
      </c>
      <c r="L185" s="43">
        <f t="shared" si="6"/>
        <v>29198.68</v>
      </c>
      <c r="M185" s="18" t="s">
        <v>90</v>
      </c>
    </row>
    <row r="186" spans="1:13" x14ac:dyDescent="0.3">
      <c r="A186" s="12"/>
      <c r="B186" s="106" t="s">
        <v>487</v>
      </c>
      <c r="C186" s="11" t="s">
        <v>297</v>
      </c>
      <c r="D186" s="117" t="s">
        <v>512</v>
      </c>
      <c r="E186" s="33" t="s">
        <v>204</v>
      </c>
      <c r="F186" s="11"/>
      <c r="H186" s="43">
        <v>110</v>
      </c>
      <c r="J186" s="43">
        <v>0</v>
      </c>
      <c r="K186" s="43">
        <f t="shared" si="4"/>
        <v>110</v>
      </c>
      <c r="L186" s="43">
        <f t="shared" si="6"/>
        <v>29308.68</v>
      </c>
      <c r="M186" s="18" t="s">
        <v>90</v>
      </c>
    </row>
    <row r="187" spans="1:13" x14ac:dyDescent="0.3">
      <c r="A187" s="12"/>
      <c r="B187" s="106" t="s">
        <v>487</v>
      </c>
      <c r="C187" s="11" t="s">
        <v>297</v>
      </c>
      <c r="D187" s="112" t="s">
        <v>500</v>
      </c>
      <c r="E187" s="47" t="s">
        <v>298</v>
      </c>
      <c r="F187" s="11"/>
      <c r="H187" s="49">
        <v>75</v>
      </c>
      <c r="J187" s="43">
        <v>0</v>
      </c>
      <c r="K187" s="43">
        <f t="shared" si="4"/>
        <v>75</v>
      </c>
      <c r="L187" s="43">
        <f t="shared" si="6"/>
        <v>29383.68</v>
      </c>
      <c r="M187" s="18" t="s">
        <v>90</v>
      </c>
    </row>
    <row r="188" spans="1:13" x14ac:dyDescent="0.3">
      <c r="A188" s="12"/>
      <c r="B188" s="106" t="s">
        <v>487</v>
      </c>
      <c r="C188" s="11" t="s">
        <v>299</v>
      </c>
      <c r="D188" s="112" t="s">
        <v>301</v>
      </c>
      <c r="E188" s="13" t="s">
        <v>300</v>
      </c>
      <c r="F188" s="11"/>
      <c r="J188" s="43">
        <v>-39.409999999999997</v>
      </c>
      <c r="K188" s="43">
        <f t="shared" si="4"/>
        <v>-39.409999999999997</v>
      </c>
      <c r="L188" s="43">
        <f t="shared" si="6"/>
        <v>29344.27</v>
      </c>
      <c r="M188" s="18" t="s">
        <v>90</v>
      </c>
    </row>
    <row r="189" spans="1:13" x14ac:dyDescent="0.3">
      <c r="B189" s="106" t="s">
        <v>487</v>
      </c>
      <c r="C189" s="11" t="s">
        <v>303</v>
      </c>
      <c r="D189" s="112" t="s">
        <v>86</v>
      </c>
      <c r="E189" s="13" t="s">
        <v>304</v>
      </c>
      <c r="F189" s="11"/>
      <c r="G189" s="13">
        <v>500117</v>
      </c>
      <c r="J189" s="43">
        <v>-100</v>
      </c>
      <c r="K189" s="43">
        <f t="shared" si="4"/>
        <v>-100</v>
      </c>
      <c r="L189" s="43">
        <f t="shared" si="6"/>
        <v>29244.27</v>
      </c>
      <c r="M189" s="18" t="s">
        <v>90</v>
      </c>
    </row>
    <row r="190" spans="1:13" x14ac:dyDescent="0.3">
      <c r="C190" s="11"/>
      <c r="D190" s="112"/>
      <c r="F190" s="11"/>
      <c r="J190" s="43">
        <v>0</v>
      </c>
      <c r="K190" s="43">
        <f t="shared" si="4"/>
        <v>0</v>
      </c>
      <c r="L190" s="43">
        <f t="shared" si="6"/>
        <v>29244.27</v>
      </c>
      <c r="M190" s="16">
        <f>L190+J72+J161+J162-I163+J178+J179</f>
        <v>28994.27</v>
      </c>
    </row>
    <row r="191" spans="1:13" x14ac:dyDescent="0.3">
      <c r="A191" s="28" t="s">
        <v>308</v>
      </c>
      <c r="B191" s="105" t="s">
        <v>488</v>
      </c>
      <c r="C191" s="13" t="s">
        <v>267</v>
      </c>
      <c r="D191" s="117" t="s">
        <v>512</v>
      </c>
      <c r="E191" s="33" t="s">
        <v>204</v>
      </c>
      <c r="F191" s="11"/>
      <c r="H191" s="43">
        <v>68</v>
      </c>
      <c r="J191" s="43">
        <v>0</v>
      </c>
      <c r="K191" s="43">
        <f t="shared" si="4"/>
        <v>68</v>
      </c>
      <c r="L191" s="43">
        <f t="shared" si="6"/>
        <v>29312.27</v>
      </c>
      <c r="M191" s="16"/>
    </row>
    <row r="192" spans="1:13" x14ac:dyDescent="0.3">
      <c r="B192" s="105" t="s">
        <v>488</v>
      </c>
      <c r="C192" s="11" t="s">
        <v>122</v>
      </c>
      <c r="D192" s="117" t="s">
        <v>512</v>
      </c>
      <c r="E192" s="33" t="s">
        <v>204</v>
      </c>
      <c r="F192" s="11"/>
      <c r="H192" s="43">
        <v>12</v>
      </c>
      <c r="J192" s="43">
        <v>0</v>
      </c>
      <c r="K192" s="43">
        <f t="shared" si="4"/>
        <v>12</v>
      </c>
      <c r="L192" s="43">
        <f t="shared" si="6"/>
        <v>29324.27</v>
      </c>
      <c r="M192" s="16"/>
    </row>
    <row r="193" spans="1:14" x14ac:dyDescent="0.3">
      <c r="B193" s="105" t="s">
        <v>488</v>
      </c>
      <c r="C193" s="11" t="s">
        <v>306</v>
      </c>
      <c r="D193" s="117" t="s">
        <v>512</v>
      </c>
      <c r="E193" s="33" t="s">
        <v>204</v>
      </c>
      <c r="F193" s="11"/>
      <c r="H193" s="43">
        <v>8</v>
      </c>
      <c r="J193" s="43">
        <v>0</v>
      </c>
      <c r="K193" s="43">
        <f t="shared" si="4"/>
        <v>8</v>
      </c>
      <c r="L193" s="43">
        <f t="shared" si="6"/>
        <v>29332.27</v>
      </c>
      <c r="M193" s="16"/>
    </row>
    <row r="194" spans="1:14" x14ac:dyDescent="0.3">
      <c r="B194" s="105" t="s">
        <v>488</v>
      </c>
      <c r="C194" s="15" t="s">
        <v>307</v>
      </c>
      <c r="D194" s="117" t="s">
        <v>512</v>
      </c>
      <c r="E194" s="33" t="s">
        <v>204</v>
      </c>
      <c r="H194" s="43">
        <v>8</v>
      </c>
      <c r="I194" s="43">
        <f>SUM(H191:H194)</f>
        <v>96</v>
      </c>
      <c r="J194" s="43">
        <v>0</v>
      </c>
      <c r="K194" s="43">
        <f t="shared" si="4"/>
        <v>8</v>
      </c>
      <c r="L194" s="43">
        <f t="shared" si="6"/>
        <v>29340.27</v>
      </c>
      <c r="M194" s="18" t="s">
        <v>90</v>
      </c>
    </row>
    <row r="195" spans="1:14" x14ac:dyDescent="0.3">
      <c r="B195" s="105" t="s">
        <v>488</v>
      </c>
      <c r="C195" s="11" t="s">
        <v>297</v>
      </c>
      <c r="D195" s="112" t="s">
        <v>504</v>
      </c>
      <c r="E195" s="47" t="s">
        <v>309</v>
      </c>
      <c r="G195" s="13">
        <v>500156</v>
      </c>
      <c r="J195" s="43">
        <v>-75</v>
      </c>
      <c r="K195" s="43">
        <f t="shared" si="4"/>
        <v>-75</v>
      </c>
      <c r="L195" s="43">
        <f t="shared" si="6"/>
        <v>29265.27</v>
      </c>
      <c r="M195" s="18" t="s">
        <v>90</v>
      </c>
    </row>
    <row r="196" spans="1:14" x14ac:dyDescent="0.3">
      <c r="A196" s="12"/>
      <c r="B196" s="105" t="s">
        <v>488</v>
      </c>
      <c r="C196" s="11" t="s">
        <v>310</v>
      </c>
      <c r="D196" s="112" t="s">
        <v>86</v>
      </c>
      <c r="E196" s="13" t="s">
        <v>311</v>
      </c>
      <c r="H196" s="43">
        <v>15</v>
      </c>
      <c r="J196" s="43">
        <v>0</v>
      </c>
      <c r="K196" s="43">
        <f t="shared" si="4"/>
        <v>15</v>
      </c>
      <c r="L196" s="43">
        <f t="shared" si="6"/>
        <v>29280.27</v>
      </c>
      <c r="M196" s="16" t="s">
        <v>90</v>
      </c>
    </row>
    <row r="197" spans="1:14" x14ac:dyDescent="0.3">
      <c r="A197" s="26"/>
      <c r="B197" s="105" t="s">
        <v>488</v>
      </c>
      <c r="C197" s="11" t="s">
        <v>234</v>
      </c>
      <c r="D197" s="112" t="s">
        <v>12</v>
      </c>
      <c r="E197" s="13" t="s">
        <v>313</v>
      </c>
      <c r="G197" s="13" t="s">
        <v>312</v>
      </c>
      <c r="J197" s="43">
        <v>-75.95</v>
      </c>
      <c r="K197" s="43">
        <f t="shared" si="4"/>
        <v>-75.95</v>
      </c>
      <c r="L197" s="43">
        <f t="shared" ref="L197:L260" si="7">L196+K197</f>
        <v>29204.32</v>
      </c>
      <c r="M197" s="16" t="s">
        <v>90</v>
      </c>
    </row>
    <row r="198" spans="1:14" x14ac:dyDescent="0.3">
      <c r="B198" s="105" t="s">
        <v>488</v>
      </c>
      <c r="C198" s="11" t="s">
        <v>314</v>
      </c>
      <c r="D198" s="112" t="s">
        <v>13</v>
      </c>
      <c r="E198" s="33" t="s">
        <v>315</v>
      </c>
      <c r="F198" s="27"/>
      <c r="G198" s="33" t="s">
        <v>243</v>
      </c>
      <c r="H198" s="42"/>
      <c r="J198" s="43">
        <v>-437.62</v>
      </c>
      <c r="K198" s="43">
        <f t="shared" ref="K198:K261" si="8">H198+J198</f>
        <v>-437.62</v>
      </c>
      <c r="L198" s="43">
        <f t="shared" si="7"/>
        <v>28766.7</v>
      </c>
      <c r="M198" s="16" t="s">
        <v>90</v>
      </c>
      <c r="N198" s="18"/>
    </row>
    <row r="199" spans="1:14" x14ac:dyDescent="0.3">
      <c r="A199" s="12"/>
      <c r="B199" s="105" t="s">
        <v>488</v>
      </c>
      <c r="C199" s="11" t="s">
        <v>321</v>
      </c>
      <c r="D199" s="112" t="s">
        <v>504</v>
      </c>
      <c r="E199" s="47" t="s">
        <v>322</v>
      </c>
      <c r="F199" s="27"/>
      <c r="G199" s="33">
        <v>500157</v>
      </c>
      <c r="H199" s="42"/>
      <c r="J199" s="43">
        <v>-50</v>
      </c>
      <c r="K199" s="43">
        <f t="shared" si="8"/>
        <v>-50</v>
      </c>
      <c r="L199" s="43">
        <f t="shared" si="7"/>
        <v>28716.7</v>
      </c>
      <c r="M199" s="16" t="s">
        <v>90</v>
      </c>
    </row>
    <row r="200" spans="1:14" x14ac:dyDescent="0.3">
      <c r="A200" s="12"/>
      <c r="B200" s="105" t="s">
        <v>488</v>
      </c>
      <c r="C200" s="11" t="s">
        <v>48</v>
      </c>
      <c r="D200" s="112" t="s">
        <v>12</v>
      </c>
      <c r="E200" s="13" t="s">
        <v>59</v>
      </c>
      <c r="F200" s="11"/>
      <c r="G200" s="13" t="s">
        <v>49</v>
      </c>
      <c r="J200" s="43">
        <v>-67.44</v>
      </c>
      <c r="K200" s="43">
        <f t="shared" si="8"/>
        <v>-67.44</v>
      </c>
      <c r="L200" s="43">
        <f t="shared" si="7"/>
        <v>28649.260000000002</v>
      </c>
      <c r="M200" s="18" t="s">
        <v>90</v>
      </c>
    </row>
    <row r="201" spans="1:14" x14ac:dyDescent="0.3">
      <c r="A201" s="29"/>
      <c r="B201" s="105" t="s">
        <v>488</v>
      </c>
      <c r="C201" s="11" t="s">
        <v>50</v>
      </c>
      <c r="D201" s="112" t="s">
        <v>8</v>
      </c>
      <c r="E201" s="13" t="s">
        <v>51</v>
      </c>
      <c r="G201" s="13" t="s">
        <v>49</v>
      </c>
      <c r="J201" s="43">
        <v>-64.319999999999993</v>
      </c>
      <c r="K201" s="43">
        <f t="shared" si="8"/>
        <v>-64.319999999999993</v>
      </c>
      <c r="L201" s="43">
        <f t="shared" si="7"/>
        <v>28584.940000000002</v>
      </c>
      <c r="M201" s="18" t="s">
        <v>90</v>
      </c>
    </row>
    <row r="202" spans="1:14" x14ac:dyDescent="0.3">
      <c r="A202" s="29"/>
      <c r="B202" s="105" t="s">
        <v>488</v>
      </c>
      <c r="C202" s="11" t="str">
        <f>+C167</f>
        <v>United Utilities</v>
      </c>
      <c r="D202" s="112" t="s">
        <v>11</v>
      </c>
      <c r="E202" s="13" t="s">
        <v>11</v>
      </c>
      <c r="F202" s="11"/>
      <c r="G202" s="13" t="s">
        <v>49</v>
      </c>
      <c r="J202" s="43">
        <v>-82.88</v>
      </c>
      <c r="K202" s="43">
        <f t="shared" si="8"/>
        <v>-82.88</v>
      </c>
      <c r="L202" s="43">
        <f t="shared" si="7"/>
        <v>28502.06</v>
      </c>
      <c r="M202" s="18" t="s">
        <v>90</v>
      </c>
    </row>
    <row r="203" spans="1:14" x14ac:dyDescent="0.3">
      <c r="B203" s="105" t="s">
        <v>488</v>
      </c>
      <c r="C203" s="11" t="s">
        <v>325</v>
      </c>
      <c r="D203" s="112" t="s">
        <v>12</v>
      </c>
      <c r="E203" s="13" t="s">
        <v>59</v>
      </c>
      <c r="F203" s="11"/>
      <c r="G203" s="13" t="s">
        <v>233</v>
      </c>
      <c r="J203" s="43">
        <v>-288.39999999999998</v>
      </c>
      <c r="K203" s="43">
        <f t="shared" si="8"/>
        <v>-288.39999999999998</v>
      </c>
      <c r="L203" s="43">
        <f t="shared" si="7"/>
        <v>28213.66</v>
      </c>
      <c r="M203" s="18" t="s">
        <v>90</v>
      </c>
    </row>
    <row r="204" spans="1:14" x14ac:dyDescent="0.3">
      <c r="A204" s="12"/>
      <c r="B204" s="105" t="s">
        <v>488</v>
      </c>
      <c r="C204" s="11" t="s">
        <v>299</v>
      </c>
      <c r="D204" s="112" t="s">
        <v>301</v>
      </c>
      <c r="E204" s="13" t="s">
        <v>301</v>
      </c>
      <c r="F204" s="11"/>
      <c r="G204" s="33" t="s">
        <v>49</v>
      </c>
      <c r="J204" s="43">
        <v>-34.68</v>
      </c>
      <c r="K204" s="43">
        <f t="shared" si="8"/>
        <v>-34.68</v>
      </c>
      <c r="L204" s="43">
        <f t="shared" si="7"/>
        <v>28178.98</v>
      </c>
      <c r="M204" s="18" t="s">
        <v>90</v>
      </c>
    </row>
    <row r="205" spans="1:14" x14ac:dyDescent="0.3">
      <c r="A205" s="12"/>
      <c r="B205" s="105" t="s">
        <v>488</v>
      </c>
      <c r="C205" s="11" t="s">
        <v>58</v>
      </c>
      <c r="D205" s="112" t="s">
        <v>9</v>
      </c>
      <c r="E205" s="13" t="s">
        <v>52</v>
      </c>
      <c r="F205" s="27"/>
      <c r="G205" s="33" t="s">
        <v>49</v>
      </c>
      <c r="J205" s="43">
        <v>-39.6</v>
      </c>
      <c r="K205" s="43">
        <f t="shared" si="8"/>
        <v>-39.6</v>
      </c>
      <c r="L205" s="43">
        <f t="shared" si="7"/>
        <v>28139.38</v>
      </c>
      <c r="M205" s="18" t="s">
        <v>90</v>
      </c>
    </row>
    <row r="206" spans="1:14" x14ac:dyDescent="0.3">
      <c r="A206" s="12"/>
      <c r="B206" s="105" t="s">
        <v>488</v>
      </c>
      <c r="C206" s="11" t="s">
        <v>345</v>
      </c>
      <c r="D206" s="112" t="s">
        <v>86</v>
      </c>
      <c r="E206" s="13" t="s">
        <v>262</v>
      </c>
      <c r="F206" s="11"/>
      <c r="H206" s="43">
        <v>15</v>
      </c>
      <c r="J206" s="43">
        <v>0</v>
      </c>
      <c r="K206" s="43">
        <f t="shared" si="8"/>
        <v>15</v>
      </c>
      <c r="L206" s="43">
        <f t="shared" si="7"/>
        <v>28154.38</v>
      </c>
      <c r="M206" s="18" t="s">
        <v>90</v>
      </c>
    </row>
    <row r="207" spans="1:14" x14ac:dyDescent="0.3">
      <c r="A207" s="12"/>
      <c r="B207" s="105" t="s">
        <v>488</v>
      </c>
      <c r="C207" s="11" t="s">
        <v>87</v>
      </c>
      <c r="D207" s="112" t="s">
        <v>519</v>
      </c>
      <c r="E207" s="33" t="s">
        <v>326</v>
      </c>
      <c r="F207" s="11"/>
      <c r="G207" s="13">
        <v>500120</v>
      </c>
      <c r="J207" s="43">
        <v>-3500</v>
      </c>
      <c r="K207" s="43">
        <f t="shared" si="8"/>
        <v>-3500</v>
      </c>
      <c r="L207" s="43">
        <f t="shared" si="7"/>
        <v>24654.38</v>
      </c>
      <c r="M207" s="18" t="s">
        <v>90</v>
      </c>
    </row>
    <row r="208" spans="1:14" x14ac:dyDescent="0.3">
      <c r="A208" s="12"/>
      <c r="B208" s="105" t="s">
        <v>488</v>
      </c>
      <c r="C208" s="11" t="s">
        <v>328</v>
      </c>
      <c r="D208" s="112" t="s">
        <v>519</v>
      </c>
      <c r="E208" s="33" t="s">
        <v>389</v>
      </c>
      <c r="F208" s="11"/>
      <c r="G208" s="13" t="s">
        <v>327</v>
      </c>
      <c r="J208" s="43">
        <v>-1000</v>
      </c>
      <c r="K208" s="43">
        <f t="shared" si="8"/>
        <v>-1000</v>
      </c>
      <c r="L208" s="43">
        <f t="shared" si="7"/>
        <v>23654.38</v>
      </c>
      <c r="M208" s="18" t="s">
        <v>90</v>
      </c>
    </row>
    <row r="209" spans="1:13" x14ac:dyDescent="0.3">
      <c r="A209" s="12"/>
      <c r="B209" s="105" t="s">
        <v>488</v>
      </c>
      <c r="C209" s="11" t="s">
        <v>330</v>
      </c>
      <c r="D209" s="112" t="s">
        <v>519</v>
      </c>
      <c r="E209" s="13" t="s">
        <v>288</v>
      </c>
      <c r="F209" s="11"/>
      <c r="G209" s="13" t="s">
        <v>329</v>
      </c>
      <c r="J209" s="43">
        <v>-670</v>
      </c>
      <c r="K209" s="43">
        <f t="shared" si="8"/>
        <v>-670</v>
      </c>
      <c r="L209" s="43">
        <f t="shared" si="7"/>
        <v>22984.38</v>
      </c>
      <c r="M209" s="18" t="s">
        <v>90</v>
      </c>
    </row>
    <row r="210" spans="1:13" x14ac:dyDescent="0.3">
      <c r="A210" s="12"/>
      <c r="B210" s="105" t="s">
        <v>488</v>
      </c>
      <c r="C210" s="11" t="s">
        <v>331</v>
      </c>
      <c r="D210" s="112" t="s">
        <v>518</v>
      </c>
      <c r="E210" s="13" t="s">
        <v>332</v>
      </c>
      <c r="F210" s="11"/>
      <c r="G210" s="13" t="s">
        <v>329</v>
      </c>
      <c r="J210" s="43">
        <v>-28.8</v>
      </c>
      <c r="K210" s="43">
        <f t="shared" si="8"/>
        <v>-28.8</v>
      </c>
      <c r="L210" s="43">
        <f t="shared" si="7"/>
        <v>22955.58</v>
      </c>
      <c r="M210" s="18" t="s">
        <v>90</v>
      </c>
    </row>
    <row r="211" spans="1:13" x14ac:dyDescent="0.3">
      <c r="A211" s="12"/>
      <c r="B211" s="105" t="s">
        <v>488</v>
      </c>
      <c r="C211" s="11" t="s">
        <v>331</v>
      </c>
      <c r="D211" s="112" t="s">
        <v>519</v>
      </c>
      <c r="E211" s="33" t="s">
        <v>333</v>
      </c>
      <c r="F211" s="11"/>
      <c r="G211" s="13" t="s">
        <v>329</v>
      </c>
      <c r="J211" s="43">
        <v>-816</v>
      </c>
      <c r="K211" s="43">
        <f t="shared" si="8"/>
        <v>-816</v>
      </c>
      <c r="L211" s="43">
        <f t="shared" si="7"/>
        <v>22139.58</v>
      </c>
      <c r="M211" s="18" t="s">
        <v>90</v>
      </c>
    </row>
    <row r="212" spans="1:13" x14ac:dyDescent="0.3">
      <c r="A212" s="12"/>
      <c r="B212" s="105" t="s">
        <v>488</v>
      </c>
      <c r="C212" s="11" t="s">
        <v>346</v>
      </c>
      <c r="D212" s="112" t="s">
        <v>513</v>
      </c>
      <c r="E212" s="55" t="s">
        <v>347</v>
      </c>
      <c r="F212" s="11"/>
      <c r="H212" s="51">
        <v>187</v>
      </c>
      <c r="J212" s="43">
        <v>0</v>
      </c>
      <c r="K212" s="43">
        <f t="shared" si="8"/>
        <v>187</v>
      </c>
      <c r="L212" s="43">
        <f t="shared" si="7"/>
        <v>22326.58</v>
      </c>
      <c r="M212" s="18" t="s">
        <v>90</v>
      </c>
    </row>
    <row r="213" spans="1:13" x14ac:dyDescent="0.3">
      <c r="A213" s="12"/>
      <c r="B213" s="105" t="s">
        <v>488</v>
      </c>
      <c r="C213" s="13" t="s">
        <v>337</v>
      </c>
      <c r="D213" s="117" t="s">
        <v>512</v>
      </c>
      <c r="E213" s="13" t="s">
        <v>342</v>
      </c>
      <c r="F213" s="11"/>
      <c r="H213" s="43">
        <v>20</v>
      </c>
      <c r="J213" s="43">
        <v>0</v>
      </c>
      <c r="K213" s="43">
        <f t="shared" si="8"/>
        <v>20</v>
      </c>
      <c r="L213" s="43">
        <f t="shared" si="7"/>
        <v>22346.58</v>
      </c>
    </row>
    <row r="214" spans="1:13" x14ac:dyDescent="0.3">
      <c r="A214" s="12"/>
      <c r="B214" s="105" t="s">
        <v>488</v>
      </c>
      <c r="C214" s="11" t="s">
        <v>338</v>
      </c>
      <c r="D214" s="117" t="s">
        <v>512</v>
      </c>
      <c r="E214" s="13" t="s">
        <v>342</v>
      </c>
      <c r="F214" s="11"/>
      <c r="H214" s="43">
        <v>23</v>
      </c>
      <c r="J214" s="43">
        <v>0</v>
      </c>
      <c r="K214" s="43">
        <f t="shared" si="8"/>
        <v>23</v>
      </c>
      <c r="L214" s="43">
        <f t="shared" si="7"/>
        <v>22369.58</v>
      </c>
    </row>
    <row r="215" spans="1:13" x14ac:dyDescent="0.3">
      <c r="A215" s="12"/>
      <c r="B215" s="105" t="s">
        <v>488</v>
      </c>
      <c r="C215" s="11" t="s">
        <v>122</v>
      </c>
      <c r="D215" s="117" t="s">
        <v>512</v>
      </c>
      <c r="E215" s="13" t="s">
        <v>342</v>
      </c>
      <c r="F215" s="11"/>
      <c r="H215" s="43">
        <v>40</v>
      </c>
      <c r="J215" s="43">
        <v>0</v>
      </c>
      <c r="K215" s="43">
        <f t="shared" si="8"/>
        <v>40</v>
      </c>
      <c r="L215" s="43">
        <f t="shared" si="7"/>
        <v>22409.58</v>
      </c>
    </row>
    <row r="216" spans="1:13" x14ac:dyDescent="0.3">
      <c r="A216" s="12"/>
      <c r="B216" s="105" t="s">
        <v>488</v>
      </c>
      <c r="C216" s="238" t="s">
        <v>339</v>
      </c>
      <c r="D216" s="117" t="s">
        <v>512</v>
      </c>
      <c r="E216" s="13" t="s">
        <v>342</v>
      </c>
      <c r="F216" s="11"/>
      <c r="H216" s="43">
        <v>25.5</v>
      </c>
      <c r="J216" s="43">
        <v>0</v>
      </c>
      <c r="K216" s="43">
        <f t="shared" si="8"/>
        <v>25.5</v>
      </c>
      <c r="L216" s="43">
        <f t="shared" si="7"/>
        <v>22435.08</v>
      </c>
    </row>
    <row r="217" spans="1:13" x14ac:dyDescent="0.3">
      <c r="A217" s="12"/>
      <c r="B217" s="105" t="s">
        <v>488</v>
      </c>
      <c r="C217" s="11" t="s">
        <v>340</v>
      </c>
      <c r="D217" s="112" t="s">
        <v>499</v>
      </c>
      <c r="E217" s="47" t="s">
        <v>341</v>
      </c>
      <c r="F217" s="11"/>
      <c r="G217" s="33"/>
      <c r="H217" s="49">
        <v>50</v>
      </c>
      <c r="I217" s="43">
        <f>SUM(H213:H217)</f>
        <v>158.5</v>
      </c>
      <c r="J217" s="43">
        <v>0</v>
      </c>
      <c r="K217" s="43">
        <f t="shared" si="8"/>
        <v>50</v>
      </c>
      <c r="L217" s="43">
        <f t="shared" si="7"/>
        <v>22485.08</v>
      </c>
      <c r="M217" s="18" t="s">
        <v>90</v>
      </c>
    </row>
    <row r="218" spans="1:13" x14ac:dyDescent="0.3">
      <c r="A218" s="5" t="s">
        <v>344</v>
      </c>
      <c r="B218" s="108"/>
      <c r="C218" s="11"/>
      <c r="D218" s="112"/>
      <c r="F218" s="11"/>
      <c r="J218" s="43">
        <v>0</v>
      </c>
      <c r="K218" s="43">
        <f t="shared" si="8"/>
        <v>0</v>
      </c>
      <c r="L218" s="43">
        <f t="shared" si="7"/>
        <v>22485.08</v>
      </c>
      <c r="M218" s="16">
        <f>L218+J72+J162-I163+J207</f>
        <v>18885.080000000002</v>
      </c>
    </row>
    <row r="219" spans="1:13" x14ac:dyDescent="0.3">
      <c r="B219" s="106" t="s">
        <v>489</v>
      </c>
      <c r="C219" s="11" t="s">
        <v>138</v>
      </c>
      <c r="D219" s="112" t="s">
        <v>513</v>
      </c>
      <c r="E219" s="55" t="s">
        <v>361</v>
      </c>
      <c r="F219" s="11"/>
      <c r="H219" s="51">
        <v>309.39999999999998</v>
      </c>
      <c r="J219" s="43">
        <v>0</v>
      </c>
      <c r="K219" s="43">
        <f t="shared" si="8"/>
        <v>309.39999999999998</v>
      </c>
      <c r="L219" s="43">
        <f t="shared" si="7"/>
        <v>22794.480000000003</v>
      </c>
      <c r="M219" s="18" t="s">
        <v>90</v>
      </c>
    </row>
    <row r="220" spans="1:13" x14ac:dyDescent="0.3">
      <c r="A220" s="39" t="s">
        <v>334</v>
      </c>
      <c r="B220" s="106" t="s">
        <v>489</v>
      </c>
      <c r="C220" s="11" t="s">
        <v>335</v>
      </c>
      <c r="D220" s="112" t="s">
        <v>499</v>
      </c>
      <c r="E220" s="47" t="s">
        <v>343</v>
      </c>
      <c r="F220" s="11"/>
      <c r="H220" s="49">
        <v>100</v>
      </c>
      <c r="J220" s="43">
        <v>0</v>
      </c>
      <c r="K220" s="43">
        <f t="shared" si="8"/>
        <v>100</v>
      </c>
      <c r="L220" s="43">
        <f t="shared" si="7"/>
        <v>22894.480000000003</v>
      </c>
      <c r="M220" s="16"/>
    </row>
    <row r="221" spans="1:13" x14ac:dyDescent="0.3">
      <c r="A221" s="12"/>
      <c r="B221" s="106" t="s">
        <v>489</v>
      </c>
      <c r="C221" s="11" t="s">
        <v>335</v>
      </c>
      <c r="D221" s="112" t="s">
        <v>512</v>
      </c>
      <c r="E221" s="33" t="s">
        <v>336</v>
      </c>
      <c r="F221" s="27"/>
      <c r="G221" s="33"/>
      <c r="H221" s="42">
        <v>500</v>
      </c>
      <c r="I221" s="43">
        <f>SUM(H220:H221)</f>
        <v>600</v>
      </c>
      <c r="J221" s="43">
        <v>0</v>
      </c>
      <c r="K221" s="43">
        <f t="shared" si="8"/>
        <v>500</v>
      </c>
      <c r="L221" s="43">
        <f t="shared" si="7"/>
        <v>23394.480000000003</v>
      </c>
      <c r="M221" s="16" t="s">
        <v>90</v>
      </c>
    </row>
    <row r="222" spans="1:13" x14ac:dyDescent="0.3">
      <c r="B222" s="106" t="s">
        <v>489</v>
      </c>
      <c r="C222" s="11" t="s">
        <v>87</v>
      </c>
      <c r="D222" s="112" t="s">
        <v>519</v>
      </c>
      <c r="E222" s="33" t="s">
        <v>326</v>
      </c>
      <c r="G222" s="13" t="s">
        <v>192</v>
      </c>
      <c r="J222" s="43">
        <v>-2500</v>
      </c>
      <c r="K222" s="43">
        <f t="shared" si="8"/>
        <v>-2500</v>
      </c>
      <c r="L222" s="43">
        <f t="shared" si="7"/>
        <v>20894.480000000003</v>
      </c>
      <c r="M222" s="18" t="s">
        <v>90</v>
      </c>
    </row>
    <row r="223" spans="1:13" x14ac:dyDescent="0.3">
      <c r="A223" s="12"/>
      <c r="B223" s="106" t="s">
        <v>489</v>
      </c>
      <c r="C223" s="11" t="s">
        <v>50</v>
      </c>
      <c r="D223" s="112" t="s">
        <v>9</v>
      </c>
      <c r="E223" s="13" t="s">
        <v>9</v>
      </c>
      <c r="F223" s="11"/>
      <c r="G223" s="13" t="s">
        <v>49</v>
      </c>
      <c r="J223" s="43">
        <v>-148.51</v>
      </c>
      <c r="K223" s="43">
        <f t="shared" si="8"/>
        <v>-148.51</v>
      </c>
      <c r="L223" s="43">
        <f t="shared" si="7"/>
        <v>20745.970000000005</v>
      </c>
      <c r="M223" s="18" t="s">
        <v>90</v>
      </c>
    </row>
    <row r="224" spans="1:13" x14ac:dyDescent="0.3">
      <c r="A224" s="39">
        <v>13</v>
      </c>
      <c r="B224" s="106" t="s">
        <v>489</v>
      </c>
      <c r="C224" s="11" t="s">
        <v>348</v>
      </c>
      <c r="D224" s="112" t="s">
        <v>519</v>
      </c>
      <c r="E224" s="33" t="s">
        <v>349</v>
      </c>
      <c r="G224" s="13" t="s">
        <v>192</v>
      </c>
      <c r="J224" s="43">
        <v>-2920</v>
      </c>
      <c r="K224" s="43">
        <f t="shared" si="8"/>
        <v>-2920</v>
      </c>
      <c r="L224" s="43">
        <f t="shared" si="7"/>
        <v>17825.970000000005</v>
      </c>
      <c r="M224" s="18" t="s">
        <v>90</v>
      </c>
    </row>
    <row r="225" spans="1:13" x14ac:dyDescent="0.3">
      <c r="A225" s="39">
        <v>11</v>
      </c>
      <c r="B225" s="106" t="s">
        <v>489</v>
      </c>
      <c r="C225" s="15" t="s">
        <v>159</v>
      </c>
      <c r="D225" s="112" t="s">
        <v>512</v>
      </c>
      <c r="E225" s="33" t="s">
        <v>204</v>
      </c>
      <c r="H225" s="43">
        <v>59.5</v>
      </c>
      <c r="J225" s="43">
        <v>0</v>
      </c>
      <c r="K225" s="43">
        <f t="shared" si="8"/>
        <v>59.5</v>
      </c>
      <c r="L225" s="43">
        <f t="shared" si="7"/>
        <v>17885.470000000005</v>
      </c>
    </row>
    <row r="226" spans="1:13" x14ac:dyDescent="0.3">
      <c r="A226" s="12"/>
      <c r="B226" s="106" t="s">
        <v>489</v>
      </c>
      <c r="C226" s="11" t="s">
        <v>350</v>
      </c>
      <c r="D226" s="112" t="s">
        <v>512</v>
      </c>
      <c r="E226" s="33" t="s">
        <v>204</v>
      </c>
      <c r="F226" s="27"/>
      <c r="G226" s="33"/>
      <c r="H226" s="42">
        <v>8</v>
      </c>
      <c r="J226" s="43">
        <v>0</v>
      </c>
      <c r="K226" s="43">
        <f t="shared" si="8"/>
        <v>8</v>
      </c>
      <c r="L226" s="43">
        <f t="shared" si="7"/>
        <v>17893.470000000005</v>
      </c>
      <c r="M226" s="16"/>
    </row>
    <row r="227" spans="1:13" x14ac:dyDescent="0.3">
      <c r="A227" s="29"/>
      <c r="B227" s="106" t="s">
        <v>489</v>
      </c>
      <c r="C227" s="11" t="s">
        <v>351</v>
      </c>
      <c r="D227" s="112" t="s">
        <v>512</v>
      </c>
      <c r="E227" s="33" t="s">
        <v>204</v>
      </c>
      <c r="F227" s="27"/>
      <c r="G227" s="33"/>
      <c r="H227" s="42">
        <v>16</v>
      </c>
      <c r="I227" s="43">
        <f>SUM(H225:H227)</f>
        <v>83.5</v>
      </c>
      <c r="J227" s="43">
        <v>0</v>
      </c>
      <c r="K227" s="43">
        <f t="shared" si="8"/>
        <v>16</v>
      </c>
      <c r="L227" s="43">
        <f t="shared" si="7"/>
        <v>17909.470000000005</v>
      </c>
      <c r="M227" s="16" t="s">
        <v>90</v>
      </c>
    </row>
    <row r="228" spans="1:13" x14ac:dyDescent="0.3">
      <c r="A228" s="29" t="s">
        <v>156</v>
      </c>
      <c r="B228" s="106" t="s">
        <v>489</v>
      </c>
      <c r="C228" s="11" t="s">
        <v>352</v>
      </c>
      <c r="D228" s="112" t="s">
        <v>513</v>
      </c>
      <c r="E228" s="55" t="s">
        <v>353</v>
      </c>
      <c r="F228" s="27"/>
      <c r="H228" s="51">
        <v>56</v>
      </c>
      <c r="J228" s="43">
        <v>0</v>
      </c>
      <c r="K228" s="43">
        <f t="shared" si="8"/>
        <v>56</v>
      </c>
      <c r="L228" s="43">
        <f t="shared" si="7"/>
        <v>17965.470000000005</v>
      </c>
      <c r="M228" s="16" t="s">
        <v>90</v>
      </c>
    </row>
    <row r="229" spans="1:13" x14ac:dyDescent="0.3">
      <c r="A229" s="29" t="s">
        <v>180</v>
      </c>
      <c r="B229" s="106" t="s">
        <v>489</v>
      </c>
      <c r="C229" s="11" t="s">
        <v>355</v>
      </c>
      <c r="D229" s="112" t="s">
        <v>512</v>
      </c>
      <c r="E229" s="33" t="s">
        <v>204</v>
      </c>
      <c r="F229" s="27"/>
      <c r="H229" s="42">
        <v>51</v>
      </c>
      <c r="J229" s="43">
        <v>0</v>
      </c>
      <c r="K229" s="43">
        <f t="shared" si="8"/>
        <v>51</v>
      </c>
      <c r="L229" s="43">
        <f t="shared" si="7"/>
        <v>18016.470000000005</v>
      </c>
      <c r="M229" s="16"/>
    </row>
    <row r="230" spans="1:13" x14ac:dyDescent="0.3">
      <c r="B230" s="106" t="s">
        <v>489</v>
      </c>
      <c r="C230" s="11" t="s">
        <v>355</v>
      </c>
      <c r="D230" s="112" t="s">
        <v>499</v>
      </c>
      <c r="E230" s="47" t="s">
        <v>358</v>
      </c>
      <c r="F230" s="27"/>
      <c r="G230" s="33"/>
      <c r="H230" s="49">
        <v>50</v>
      </c>
      <c r="J230" s="43">
        <v>0</v>
      </c>
      <c r="K230" s="43">
        <f t="shared" si="8"/>
        <v>50</v>
      </c>
      <c r="L230" s="43">
        <f t="shared" si="7"/>
        <v>18066.470000000005</v>
      </c>
      <c r="M230" s="16"/>
    </row>
    <row r="231" spans="1:13" x14ac:dyDescent="0.3">
      <c r="B231" s="106" t="s">
        <v>489</v>
      </c>
      <c r="C231" s="12" t="s">
        <v>357</v>
      </c>
      <c r="D231" s="112" t="s">
        <v>512</v>
      </c>
      <c r="E231" s="33" t="s">
        <v>204</v>
      </c>
      <c r="F231" s="27"/>
      <c r="H231" s="42">
        <v>8</v>
      </c>
      <c r="J231" s="43">
        <v>0</v>
      </c>
      <c r="K231" s="43">
        <f t="shared" si="8"/>
        <v>8</v>
      </c>
      <c r="L231" s="43">
        <f t="shared" si="7"/>
        <v>18074.470000000005</v>
      </c>
      <c r="M231" s="16"/>
    </row>
    <row r="232" spans="1:13" x14ac:dyDescent="0.3">
      <c r="A232" s="29"/>
      <c r="B232" s="106" t="s">
        <v>489</v>
      </c>
      <c r="C232" s="12" t="s">
        <v>356</v>
      </c>
      <c r="D232" s="112" t="s">
        <v>512</v>
      </c>
      <c r="E232" s="33" t="s">
        <v>204</v>
      </c>
      <c r="F232" s="27"/>
      <c r="G232" s="33"/>
      <c r="H232" s="42">
        <v>8</v>
      </c>
      <c r="I232" s="43">
        <f>SUM(H229:H232)</f>
        <v>117</v>
      </c>
      <c r="J232" s="43">
        <v>0</v>
      </c>
      <c r="K232" s="43">
        <f t="shared" si="8"/>
        <v>8</v>
      </c>
      <c r="L232" s="43">
        <f t="shared" si="7"/>
        <v>18082.470000000005</v>
      </c>
      <c r="M232" s="16" t="s">
        <v>90</v>
      </c>
    </row>
    <row r="233" spans="1:13" x14ac:dyDescent="0.3">
      <c r="A233" s="29"/>
      <c r="B233" s="106" t="s">
        <v>489</v>
      </c>
      <c r="C233" s="11" t="s">
        <v>48</v>
      </c>
      <c r="D233" s="112" t="s">
        <v>12</v>
      </c>
      <c r="F233" s="11"/>
      <c r="G233" s="33" t="s">
        <v>49</v>
      </c>
      <c r="J233" s="43">
        <v>-67.44</v>
      </c>
      <c r="K233" s="43">
        <f t="shared" si="8"/>
        <v>-67.44</v>
      </c>
      <c r="L233" s="43">
        <f t="shared" si="7"/>
        <v>18015.030000000006</v>
      </c>
      <c r="M233" s="16" t="s">
        <v>90</v>
      </c>
    </row>
    <row r="234" spans="1:13" x14ac:dyDescent="0.3">
      <c r="A234" s="29"/>
      <c r="B234" s="106" t="s">
        <v>489</v>
      </c>
      <c r="C234" s="15" t="s">
        <v>370</v>
      </c>
      <c r="D234" s="114" t="s">
        <v>504</v>
      </c>
      <c r="E234" s="47" t="s">
        <v>479</v>
      </c>
      <c r="G234" s="13">
        <v>500158</v>
      </c>
      <c r="J234" s="43">
        <v>-50</v>
      </c>
      <c r="K234" s="43">
        <f t="shared" si="8"/>
        <v>-50</v>
      </c>
      <c r="L234" s="43">
        <f t="shared" si="7"/>
        <v>17965.030000000006</v>
      </c>
      <c r="M234" s="16"/>
    </row>
    <row r="235" spans="1:13" x14ac:dyDescent="0.3">
      <c r="A235" s="12"/>
      <c r="B235" s="106" t="s">
        <v>489</v>
      </c>
      <c r="C235" s="11" t="s">
        <v>53</v>
      </c>
      <c r="D235" s="112" t="s">
        <v>11</v>
      </c>
      <c r="F235" s="11"/>
      <c r="G235" s="13" t="s">
        <v>49</v>
      </c>
      <c r="J235" s="43">
        <v>-82.88</v>
      </c>
      <c r="K235" s="43">
        <f t="shared" si="8"/>
        <v>-82.88</v>
      </c>
      <c r="L235" s="43">
        <f t="shared" si="7"/>
        <v>17882.150000000005</v>
      </c>
      <c r="M235" s="16" t="s">
        <v>412</v>
      </c>
    </row>
    <row r="236" spans="1:13" x14ac:dyDescent="0.3">
      <c r="A236" s="12"/>
      <c r="B236" s="106" t="s">
        <v>489</v>
      </c>
      <c r="C236" s="11" t="s">
        <v>325</v>
      </c>
      <c r="D236" s="112" t="s">
        <v>12</v>
      </c>
      <c r="E236" s="13" t="s">
        <v>59</v>
      </c>
      <c r="F236" s="11"/>
      <c r="G236" s="13" t="s">
        <v>233</v>
      </c>
      <c r="J236" s="43">
        <v>-288.39999999999998</v>
      </c>
      <c r="K236" s="43">
        <f t="shared" si="8"/>
        <v>-288.39999999999998</v>
      </c>
      <c r="L236" s="43">
        <f t="shared" si="7"/>
        <v>17593.750000000004</v>
      </c>
      <c r="M236" s="16" t="s">
        <v>90</v>
      </c>
    </row>
    <row r="237" spans="1:13" x14ac:dyDescent="0.3">
      <c r="A237" s="12"/>
      <c r="B237" s="106" t="s">
        <v>489</v>
      </c>
      <c r="C237" s="11" t="s">
        <v>299</v>
      </c>
      <c r="D237" s="112" t="s">
        <v>301</v>
      </c>
      <c r="E237" s="13" t="s">
        <v>301</v>
      </c>
      <c r="F237" s="11"/>
      <c r="G237" s="33" t="s">
        <v>49</v>
      </c>
      <c r="J237" s="43">
        <v>-34.68</v>
      </c>
      <c r="K237" s="43">
        <f t="shared" si="8"/>
        <v>-34.68</v>
      </c>
      <c r="L237" s="43">
        <f t="shared" si="7"/>
        <v>17559.070000000003</v>
      </c>
      <c r="M237" s="16" t="s">
        <v>90</v>
      </c>
    </row>
    <row r="238" spans="1:13" x14ac:dyDescent="0.3">
      <c r="A238" s="12"/>
      <c r="B238" s="106" t="s">
        <v>489</v>
      </c>
      <c r="C238" s="11" t="s">
        <v>335</v>
      </c>
      <c r="D238" s="114" t="s">
        <v>504</v>
      </c>
      <c r="E238" s="47" t="s">
        <v>359</v>
      </c>
      <c r="F238" s="27"/>
      <c r="G238" s="33">
        <v>500159</v>
      </c>
      <c r="H238" s="42"/>
      <c r="J238" s="43">
        <v>-100</v>
      </c>
      <c r="K238" s="43">
        <f t="shared" si="8"/>
        <v>-100</v>
      </c>
      <c r="L238" s="43">
        <f t="shared" si="7"/>
        <v>17459.070000000003</v>
      </c>
      <c r="M238" s="16" t="s">
        <v>90</v>
      </c>
    </row>
    <row r="239" spans="1:13" x14ac:dyDescent="0.3">
      <c r="B239" s="106" t="s">
        <v>489</v>
      </c>
      <c r="C239" s="11" t="s">
        <v>372</v>
      </c>
      <c r="D239" s="112" t="s">
        <v>518</v>
      </c>
      <c r="E239" s="33" t="s">
        <v>360</v>
      </c>
      <c r="F239" s="27"/>
      <c r="G239" s="33" t="s">
        <v>192</v>
      </c>
      <c r="H239" s="42"/>
      <c r="J239" s="43">
        <v>-84</v>
      </c>
      <c r="K239" s="43">
        <f t="shared" si="8"/>
        <v>-84</v>
      </c>
      <c r="L239" s="43">
        <f t="shared" si="7"/>
        <v>17375.070000000003</v>
      </c>
      <c r="M239" s="16" t="s">
        <v>90</v>
      </c>
    </row>
    <row r="240" spans="1:13" x14ac:dyDescent="0.3">
      <c r="A240" s="12"/>
      <c r="B240" s="105"/>
      <c r="C240" s="11"/>
      <c r="D240" s="112"/>
      <c r="E240" s="33"/>
      <c r="F240" s="27"/>
      <c r="G240" s="33"/>
      <c r="H240" s="42"/>
      <c r="J240" s="43">
        <v>0</v>
      </c>
      <c r="K240" s="43">
        <f t="shared" si="8"/>
        <v>0</v>
      </c>
      <c r="L240" s="43">
        <f t="shared" si="7"/>
        <v>17375.070000000003</v>
      </c>
      <c r="M240" s="16">
        <f>L240+J72+J162-I163+J235</f>
        <v>17192.190000000002</v>
      </c>
    </row>
    <row r="241" spans="1:19" x14ac:dyDescent="0.3">
      <c r="A241" s="28" t="s">
        <v>81</v>
      </c>
      <c r="B241" s="105"/>
      <c r="J241" s="43">
        <v>0</v>
      </c>
      <c r="K241" s="43">
        <f t="shared" si="8"/>
        <v>0</v>
      </c>
      <c r="L241" s="43">
        <f t="shared" si="7"/>
        <v>17375.070000000003</v>
      </c>
    </row>
    <row r="242" spans="1:19" x14ac:dyDescent="0.3">
      <c r="A242" s="40"/>
      <c r="B242" s="109" t="s">
        <v>490</v>
      </c>
      <c r="C242" s="15" t="s">
        <v>362</v>
      </c>
      <c r="D242" s="112" t="s">
        <v>513</v>
      </c>
      <c r="E242" s="33"/>
      <c r="F242" s="27"/>
      <c r="G242" s="33"/>
      <c r="H242" s="51">
        <v>181.3</v>
      </c>
      <c r="J242" s="43">
        <v>0</v>
      </c>
      <c r="K242" s="43">
        <f t="shared" si="8"/>
        <v>181.3</v>
      </c>
      <c r="L242" s="43">
        <f t="shared" si="7"/>
        <v>17556.370000000003</v>
      </c>
    </row>
    <row r="243" spans="1:19" x14ac:dyDescent="0.3">
      <c r="A243" s="12"/>
      <c r="B243" s="109" t="s">
        <v>490</v>
      </c>
      <c r="C243" s="15" t="s">
        <v>363</v>
      </c>
      <c r="D243" s="112" t="s">
        <v>513</v>
      </c>
      <c r="E243" s="33"/>
      <c r="F243" s="27"/>
      <c r="G243" s="33"/>
      <c r="H243" s="51">
        <v>171.5</v>
      </c>
      <c r="J243" s="43">
        <v>0</v>
      </c>
      <c r="K243" s="43">
        <f t="shared" si="8"/>
        <v>171.5</v>
      </c>
      <c r="L243" s="43">
        <f t="shared" si="7"/>
        <v>17727.870000000003</v>
      </c>
      <c r="M243" s="16"/>
    </row>
    <row r="244" spans="1:19" x14ac:dyDescent="0.3">
      <c r="B244" s="109" t="s">
        <v>490</v>
      </c>
      <c r="C244" s="11" t="s">
        <v>364</v>
      </c>
      <c r="D244" s="112" t="s">
        <v>513</v>
      </c>
      <c r="E244" s="33"/>
      <c r="F244" s="27"/>
      <c r="G244" s="33"/>
      <c r="H244" s="51">
        <v>171.5</v>
      </c>
      <c r="I244" s="43">
        <f>SUM(H242:H244)</f>
        <v>524.29999999999995</v>
      </c>
      <c r="J244" s="43">
        <v>0</v>
      </c>
      <c r="K244" s="43">
        <f t="shared" si="8"/>
        <v>171.5</v>
      </c>
      <c r="L244" s="43">
        <f t="shared" si="7"/>
        <v>17899.370000000003</v>
      </c>
      <c r="M244" s="16" t="s">
        <v>90</v>
      </c>
      <c r="S244" s="57"/>
    </row>
    <row r="245" spans="1:19" x14ac:dyDescent="0.3">
      <c r="A245" s="26"/>
      <c r="B245" s="109" t="s">
        <v>490</v>
      </c>
      <c r="C245" s="15" t="s">
        <v>365</v>
      </c>
      <c r="D245" s="112" t="s">
        <v>512</v>
      </c>
      <c r="E245" s="13" t="s">
        <v>368</v>
      </c>
      <c r="H245" s="43">
        <v>128</v>
      </c>
      <c r="J245" s="43">
        <v>0</v>
      </c>
      <c r="K245" s="43">
        <f t="shared" si="8"/>
        <v>128</v>
      </c>
      <c r="L245" s="43">
        <f t="shared" si="7"/>
        <v>18027.370000000003</v>
      </c>
      <c r="M245" s="16"/>
      <c r="S245" s="57"/>
    </row>
    <row r="246" spans="1:19" x14ac:dyDescent="0.3">
      <c r="A246" s="26"/>
      <c r="B246" s="109" t="s">
        <v>490</v>
      </c>
      <c r="C246" s="15" t="s">
        <v>366</v>
      </c>
      <c r="D246" s="112" t="s">
        <v>512</v>
      </c>
      <c r="F246" s="58"/>
      <c r="H246" s="43">
        <v>12</v>
      </c>
      <c r="J246" s="43">
        <v>0</v>
      </c>
      <c r="K246" s="43">
        <f t="shared" si="8"/>
        <v>12</v>
      </c>
      <c r="L246" s="43">
        <f t="shared" si="7"/>
        <v>18039.370000000003</v>
      </c>
      <c r="S246" s="57"/>
    </row>
    <row r="247" spans="1:19" x14ac:dyDescent="0.3">
      <c r="A247" s="59"/>
      <c r="B247" s="109" t="s">
        <v>490</v>
      </c>
      <c r="C247" s="15" t="s">
        <v>367</v>
      </c>
      <c r="D247" s="112" t="s">
        <v>512</v>
      </c>
      <c r="F247" s="58"/>
      <c r="H247" s="43">
        <v>42.5</v>
      </c>
      <c r="I247" s="43">
        <f>SUM(H245:H247)</f>
        <v>182.5</v>
      </c>
      <c r="J247" s="43">
        <v>0</v>
      </c>
      <c r="K247" s="43">
        <f t="shared" si="8"/>
        <v>42.5</v>
      </c>
      <c r="L247" s="43">
        <f t="shared" si="7"/>
        <v>18081.870000000003</v>
      </c>
      <c r="M247" s="18" t="s">
        <v>90</v>
      </c>
      <c r="S247" s="57"/>
    </row>
    <row r="248" spans="1:19" x14ac:dyDescent="0.3">
      <c r="A248" s="29" t="s">
        <v>115</v>
      </c>
      <c r="B248" s="109" t="s">
        <v>490</v>
      </c>
      <c r="C248" s="15" t="s">
        <v>174</v>
      </c>
      <c r="D248" s="112" t="s">
        <v>513</v>
      </c>
      <c r="E248" s="55" t="s">
        <v>396</v>
      </c>
      <c r="H248" s="51">
        <v>3236.8</v>
      </c>
      <c r="J248" s="43">
        <v>0</v>
      </c>
      <c r="K248" s="43">
        <f t="shared" si="8"/>
        <v>3236.8</v>
      </c>
      <c r="L248" s="43">
        <f t="shared" si="7"/>
        <v>21318.670000000002</v>
      </c>
      <c r="M248" s="16" t="s">
        <v>90</v>
      </c>
      <c r="S248" s="57"/>
    </row>
    <row r="249" spans="1:19" x14ac:dyDescent="0.3">
      <c r="A249" s="34"/>
      <c r="B249" s="109" t="s">
        <v>490</v>
      </c>
      <c r="C249" s="11" t="s">
        <v>122</v>
      </c>
      <c r="D249" s="112" t="s">
        <v>512</v>
      </c>
      <c r="E249" s="33" t="s">
        <v>204</v>
      </c>
      <c r="F249" s="27"/>
      <c r="H249" s="42">
        <v>40</v>
      </c>
      <c r="J249" s="43">
        <v>0</v>
      </c>
      <c r="K249" s="43">
        <f t="shared" si="8"/>
        <v>40</v>
      </c>
      <c r="L249" s="43">
        <f t="shared" si="7"/>
        <v>21358.670000000002</v>
      </c>
      <c r="S249" s="57"/>
    </row>
    <row r="250" spans="1:19" x14ac:dyDescent="0.3">
      <c r="A250" s="29"/>
      <c r="B250" s="109" t="s">
        <v>490</v>
      </c>
      <c r="C250" s="238" t="s">
        <v>369</v>
      </c>
      <c r="D250" s="112" t="s">
        <v>512</v>
      </c>
      <c r="E250" s="33" t="s">
        <v>204</v>
      </c>
      <c r="F250" s="27"/>
      <c r="H250" s="42">
        <f>51</f>
        <v>51</v>
      </c>
      <c r="J250" s="43">
        <v>0</v>
      </c>
      <c r="K250" s="43">
        <f t="shared" si="8"/>
        <v>51</v>
      </c>
      <c r="L250" s="43">
        <f t="shared" si="7"/>
        <v>21409.670000000002</v>
      </c>
      <c r="M250" s="18" t="s">
        <v>90</v>
      </c>
      <c r="S250" s="57"/>
    </row>
    <row r="251" spans="1:19" x14ac:dyDescent="0.3">
      <c r="A251" s="29" t="s">
        <v>139</v>
      </c>
      <c r="B251" s="109" t="s">
        <v>490</v>
      </c>
      <c r="C251" s="11" t="s">
        <v>87</v>
      </c>
      <c r="D251" s="112" t="s">
        <v>519</v>
      </c>
      <c r="E251" s="33" t="s">
        <v>371</v>
      </c>
      <c r="F251" s="27"/>
      <c r="G251" s="33" t="s">
        <v>243</v>
      </c>
      <c r="H251" s="42"/>
      <c r="J251" s="43">
        <v>-2486.4</v>
      </c>
      <c r="K251" s="43">
        <f t="shared" si="8"/>
        <v>-2486.4</v>
      </c>
      <c r="L251" s="43">
        <f t="shared" si="7"/>
        <v>18923.27</v>
      </c>
      <c r="M251" s="18" t="s">
        <v>90</v>
      </c>
      <c r="S251" s="57"/>
    </row>
    <row r="252" spans="1:19" x14ac:dyDescent="0.3">
      <c r="A252" s="29"/>
      <c r="B252" s="109" t="s">
        <v>490</v>
      </c>
      <c r="C252" s="11" t="s">
        <v>373</v>
      </c>
      <c r="D252" s="112" t="s">
        <v>519</v>
      </c>
      <c r="E252" s="33" t="s">
        <v>374</v>
      </c>
      <c r="F252" s="52"/>
      <c r="G252" s="33" t="s">
        <v>376</v>
      </c>
      <c r="H252" s="42"/>
      <c r="J252" s="43">
        <v>-2900.04</v>
      </c>
      <c r="K252" s="43">
        <f t="shared" si="8"/>
        <v>-2900.04</v>
      </c>
      <c r="L252" s="43">
        <f t="shared" si="7"/>
        <v>16023.23</v>
      </c>
      <c r="M252" s="18" t="s">
        <v>90</v>
      </c>
      <c r="S252" s="57"/>
    </row>
    <row r="253" spans="1:19" x14ac:dyDescent="0.3">
      <c r="A253" s="52"/>
      <c r="B253" s="109" t="s">
        <v>490</v>
      </c>
      <c r="C253" s="11" t="s">
        <v>373</v>
      </c>
      <c r="D253" s="112" t="s">
        <v>519</v>
      </c>
      <c r="E253" s="33" t="s">
        <v>375</v>
      </c>
      <c r="G253" s="13" t="s">
        <v>377</v>
      </c>
      <c r="J253" s="43">
        <v>-818.39</v>
      </c>
      <c r="K253" s="43">
        <f t="shared" si="8"/>
        <v>-818.39</v>
      </c>
      <c r="L253" s="43">
        <f t="shared" si="7"/>
        <v>15204.84</v>
      </c>
      <c r="M253" s="18" t="s">
        <v>90</v>
      </c>
      <c r="S253" s="57"/>
    </row>
    <row r="254" spans="1:19" x14ac:dyDescent="0.3">
      <c r="A254" s="29"/>
      <c r="B254" s="109" t="s">
        <v>490</v>
      </c>
      <c r="C254" s="11" t="s">
        <v>373</v>
      </c>
      <c r="D254" s="112" t="s">
        <v>519</v>
      </c>
      <c r="E254" s="13" t="s">
        <v>379</v>
      </c>
      <c r="G254" s="13" t="s">
        <v>378</v>
      </c>
      <c r="J254" s="43">
        <v>-239.94</v>
      </c>
      <c r="K254" s="43">
        <f t="shared" si="8"/>
        <v>-239.94</v>
      </c>
      <c r="L254" s="43">
        <f t="shared" si="7"/>
        <v>14964.9</v>
      </c>
      <c r="M254" s="18" t="s">
        <v>90</v>
      </c>
      <c r="N254" s="11">
        <f>SUM(J252:J254)</f>
        <v>-3958.37</v>
      </c>
      <c r="O254" s="16" t="s">
        <v>411</v>
      </c>
      <c r="S254" s="57"/>
    </row>
    <row r="255" spans="1:19" x14ac:dyDescent="0.3">
      <c r="A255" s="59"/>
      <c r="B255" s="109" t="s">
        <v>490</v>
      </c>
      <c r="C255" s="11" t="s">
        <v>58</v>
      </c>
      <c r="D255" s="112" t="s">
        <v>9</v>
      </c>
      <c r="E255" s="13" t="s">
        <v>9</v>
      </c>
      <c r="F255" s="11"/>
      <c r="G255" s="13" t="s">
        <v>49</v>
      </c>
      <c r="J255" s="43">
        <v>0</v>
      </c>
      <c r="K255" s="43">
        <f t="shared" si="8"/>
        <v>0</v>
      </c>
      <c r="L255" s="43">
        <f t="shared" si="7"/>
        <v>14964.9</v>
      </c>
      <c r="S255" s="57"/>
    </row>
    <row r="256" spans="1:19" x14ac:dyDescent="0.3">
      <c r="A256" s="59"/>
      <c r="B256" s="109" t="s">
        <v>490</v>
      </c>
      <c r="C256" s="11" t="s">
        <v>53</v>
      </c>
      <c r="D256" s="112" t="s">
        <v>11</v>
      </c>
      <c r="E256" s="13" t="s">
        <v>11</v>
      </c>
      <c r="F256" s="11"/>
      <c r="G256" s="13" t="s">
        <v>49</v>
      </c>
      <c r="J256" s="43">
        <v>-82.88</v>
      </c>
      <c r="K256" s="43">
        <f t="shared" si="8"/>
        <v>-82.88</v>
      </c>
      <c r="L256" s="43">
        <f t="shared" si="7"/>
        <v>14882.02</v>
      </c>
      <c r="M256" s="16" t="s">
        <v>412</v>
      </c>
      <c r="S256" s="57"/>
    </row>
    <row r="257" spans="1:19" x14ac:dyDescent="0.3">
      <c r="A257" s="29"/>
      <c r="B257" s="109" t="s">
        <v>490</v>
      </c>
      <c r="C257" s="11" t="s">
        <v>325</v>
      </c>
      <c r="D257" s="112" t="s">
        <v>12</v>
      </c>
      <c r="E257" s="13" t="s">
        <v>59</v>
      </c>
      <c r="F257" s="11"/>
      <c r="G257" s="13" t="s">
        <v>233</v>
      </c>
      <c r="J257" s="43">
        <v>-288.39999999999998</v>
      </c>
      <c r="K257" s="43">
        <f t="shared" si="8"/>
        <v>-288.39999999999998</v>
      </c>
      <c r="L257" s="43">
        <f t="shared" si="7"/>
        <v>14593.62</v>
      </c>
      <c r="M257" s="16" t="s">
        <v>90</v>
      </c>
      <c r="S257" s="57"/>
    </row>
    <row r="258" spans="1:19" x14ac:dyDescent="0.3">
      <c r="A258" s="59"/>
      <c r="B258" s="109" t="s">
        <v>490</v>
      </c>
      <c r="C258" s="11" t="s">
        <v>299</v>
      </c>
      <c r="D258" s="112" t="s">
        <v>301</v>
      </c>
      <c r="E258" s="13" t="s">
        <v>301</v>
      </c>
      <c r="F258" s="11"/>
      <c r="G258" s="33" t="s">
        <v>49</v>
      </c>
      <c r="J258" s="43">
        <v>-34.68</v>
      </c>
      <c r="K258" s="43">
        <f t="shared" si="8"/>
        <v>-34.68</v>
      </c>
      <c r="L258" s="43">
        <f t="shared" si="7"/>
        <v>14558.94</v>
      </c>
      <c r="M258" s="18" t="s">
        <v>90</v>
      </c>
      <c r="S258" s="57"/>
    </row>
    <row r="259" spans="1:19" x14ac:dyDescent="0.3">
      <c r="A259" s="29"/>
      <c r="B259" s="109" t="s">
        <v>490</v>
      </c>
      <c r="C259" s="11" t="str">
        <f>+C131</f>
        <v>Rentokil</v>
      </c>
      <c r="D259" s="112" t="s">
        <v>12</v>
      </c>
      <c r="E259" s="13" t="s">
        <v>59</v>
      </c>
      <c r="F259" s="11"/>
      <c r="G259" s="13" t="str">
        <f>+G131</f>
        <v>DD</v>
      </c>
      <c r="J259" s="43">
        <v>-67.44</v>
      </c>
      <c r="K259" s="43">
        <f t="shared" si="8"/>
        <v>-67.44</v>
      </c>
      <c r="L259" s="43">
        <f t="shared" si="7"/>
        <v>14491.5</v>
      </c>
      <c r="M259" s="18" t="s">
        <v>90</v>
      </c>
      <c r="S259" s="57"/>
    </row>
    <row r="260" spans="1:19" x14ac:dyDescent="0.3">
      <c r="A260" s="29"/>
      <c r="B260" s="109" t="s">
        <v>490</v>
      </c>
      <c r="C260" s="11" t="s">
        <v>48</v>
      </c>
      <c r="D260" s="112" t="s">
        <v>12</v>
      </c>
      <c r="E260" s="13" t="s">
        <v>59</v>
      </c>
      <c r="F260" s="11"/>
      <c r="G260" s="13" t="s">
        <v>49</v>
      </c>
      <c r="J260" s="43">
        <v>-13.93</v>
      </c>
      <c r="K260" s="43">
        <f t="shared" si="8"/>
        <v>-13.93</v>
      </c>
      <c r="L260" s="43">
        <f t="shared" si="7"/>
        <v>14477.57</v>
      </c>
      <c r="M260" s="18" t="s">
        <v>90</v>
      </c>
      <c r="S260" s="57"/>
    </row>
    <row r="261" spans="1:19" x14ac:dyDescent="0.3">
      <c r="A261" s="29"/>
      <c r="B261" s="109" t="s">
        <v>490</v>
      </c>
      <c r="C261" s="11" t="s">
        <v>380</v>
      </c>
      <c r="D261" s="132" t="s">
        <v>623</v>
      </c>
      <c r="E261" s="13" t="s">
        <v>381</v>
      </c>
      <c r="F261" s="11"/>
      <c r="G261" s="13">
        <v>500120</v>
      </c>
      <c r="J261" s="43">
        <v>-10.130000000000001</v>
      </c>
      <c r="K261" s="43">
        <f t="shared" si="8"/>
        <v>-10.130000000000001</v>
      </c>
      <c r="L261" s="43">
        <f t="shared" ref="L261:L320" si="9">L260+K261</f>
        <v>14467.44</v>
      </c>
      <c r="M261" s="18" t="s">
        <v>90</v>
      </c>
      <c r="S261" s="57"/>
    </row>
    <row r="262" spans="1:19" x14ac:dyDescent="0.3">
      <c r="A262" s="29" t="s">
        <v>382</v>
      </c>
      <c r="B262" s="109" t="s">
        <v>490</v>
      </c>
      <c r="C262" s="11" t="s">
        <v>383</v>
      </c>
      <c r="D262" s="112" t="s">
        <v>519</v>
      </c>
      <c r="E262" s="33" t="s">
        <v>387</v>
      </c>
      <c r="F262" s="27"/>
      <c r="G262" s="33" t="s">
        <v>312</v>
      </c>
      <c r="H262" s="42"/>
      <c r="J262" s="43">
        <v>-2284.4</v>
      </c>
      <c r="K262" s="43">
        <f t="shared" ref="K262:K321" si="10">H262+J262</f>
        <v>-2284.4</v>
      </c>
      <c r="L262" s="43">
        <f t="shared" si="9"/>
        <v>12183.04</v>
      </c>
      <c r="M262" s="11"/>
      <c r="S262" s="57"/>
    </row>
    <row r="263" spans="1:19" x14ac:dyDescent="0.3">
      <c r="A263" s="29"/>
      <c r="B263" s="109" t="s">
        <v>490</v>
      </c>
      <c r="C263" s="11"/>
      <c r="D263" s="112" t="s">
        <v>519</v>
      </c>
      <c r="E263" s="33" t="s">
        <v>388</v>
      </c>
      <c r="F263" s="27"/>
      <c r="G263" s="33"/>
      <c r="H263" s="42"/>
      <c r="J263" s="43">
        <v>-614.4</v>
      </c>
      <c r="K263" s="43">
        <f t="shared" si="10"/>
        <v>-614.4</v>
      </c>
      <c r="L263" s="43">
        <f t="shared" si="9"/>
        <v>11568.640000000001</v>
      </c>
      <c r="M263" s="11"/>
      <c r="S263" s="57"/>
    </row>
    <row r="264" spans="1:19" x14ac:dyDescent="0.3">
      <c r="A264" s="29"/>
      <c r="B264" s="109" t="s">
        <v>490</v>
      </c>
      <c r="C264" s="11"/>
      <c r="D264" s="112" t="s">
        <v>519</v>
      </c>
      <c r="E264" s="33" t="s">
        <v>390</v>
      </c>
      <c r="F264" s="27"/>
      <c r="G264" s="33"/>
      <c r="H264" s="42"/>
      <c r="J264" s="43">
        <v>-1014</v>
      </c>
      <c r="K264" s="43">
        <f t="shared" si="10"/>
        <v>-1014</v>
      </c>
      <c r="L264" s="43">
        <f t="shared" si="9"/>
        <v>10554.640000000001</v>
      </c>
      <c r="M264" s="11"/>
      <c r="S264" s="57"/>
    </row>
    <row r="265" spans="1:19" x14ac:dyDescent="0.3">
      <c r="A265" s="29"/>
      <c r="B265" s="109" t="s">
        <v>490</v>
      </c>
      <c r="C265" s="11"/>
      <c r="D265" s="112" t="s">
        <v>519</v>
      </c>
      <c r="E265" s="33" t="s">
        <v>391</v>
      </c>
      <c r="F265" s="27"/>
      <c r="G265" s="33"/>
      <c r="H265" s="42"/>
      <c r="J265" s="43">
        <v>-1147.2</v>
      </c>
      <c r="K265" s="43">
        <f t="shared" si="10"/>
        <v>-1147.2</v>
      </c>
      <c r="L265" s="43">
        <f t="shared" si="9"/>
        <v>9407.44</v>
      </c>
      <c r="M265" s="11" t="s">
        <v>90</v>
      </c>
      <c r="S265" s="57"/>
    </row>
    <row r="266" spans="1:19" x14ac:dyDescent="0.3">
      <c r="A266" s="29"/>
      <c r="B266" s="109" t="s">
        <v>490</v>
      </c>
      <c r="C266" s="11" t="s">
        <v>384</v>
      </c>
      <c r="D266" s="112" t="s">
        <v>512</v>
      </c>
      <c r="E266" s="33" t="s">
        <v>204</v>
      </c>
      <c r="F266" s="27"/>
      <c r="G266" s="33"/>
      <c r="H266" s="42">
        <v>48</v>
      </c>
      <c r="J266" s="43">
        <v>0</v>
      </c>
      <c r="K266" s="43">
        <f t="shared" si="10"/>
        <v>48</v>
      </c>
      <c r="L266" s="43">
        <f t="shared" si="9"/>
        <v>9455.44</v>
      </c>
      <c r="S266" s="57"/>
    </row>
    <row r="267" spans="1:19" x14ac:dyDescent="0.3">
      <c r="A267" s="29"/>
      <c r="B267" s="109" t="s">
        <v>490</v>
      </c>
      <c r="C267" s="11" t="s">
        <v>385</v>
      </c>
      <c r="D267" s="112" t="s">
        <v>512</v>
      </c>
      <c r="E267" s="33" t="s">
        <v>204</v>
      </c>
      <c r="F267" s="60"/>
      <c r="G267" s="33"/>
      <c r="H267" s="42">
        <v>50</v>
      </c>
      <c r="J267" s="43">
        <v>0</v>
      </c>
      <c r="K267" s="43">
        <f t="shared" si="10"/>
        <v>50</v>
      </c>
      <c r="L267" s="43">
        <f t="shared" si="9"/>
        <v>9505.44</v>
      </c>
      <c r="S267" s="57"/>
    </row>
    <row r="268" spans="1:19" x14ac:dyDescent="0.3">
      <c r="A268" s="29"/>
      <c r="B268" s="109" t="s">
        <v>490</v>
      </c>
      <c r="C268" s="11" t="s">
        <v>386</v>
      </c>
      <c r="D268" s="112" t="s">
        <v>512</v>
      </c>
      <c r="E268" s="120" t="s">
        <v>691</v>
      </c>
      <c r="F268" s="27"/>
      <c r="G268" s="33"/>
      <c r="H268" s="42">
        <v>50</v>
      </c>
      <c r="I268" s="43">
        <f>SUM(H266:H268)</f>
        <v>148</v>
      </c>
      <c r="J268" s="43">
        <v>0</v>
      </c>
      <c r="K268" s="43">
        <f t="shared" si="10"/>
        <v>50</v>
      </c>
      <c r="L268" s="43">
        <f t="shared" si="9"/>
        <v>9555.44</v>
      </c>
      <c r="M268" s="18" t="s">
        <v>90</v>
      </c>
      <c r="S268" s="57"/>
    </row>
    <row r="269" spans="1:19" x14ac:dyDescent="0.3">
      <c r="A269" s="59"/>
      <c r="B269" s="109" t="s">
        <v>490</v>
      </c>
      <c r="C269" s="11" t="s">
        <v>392</v>
      </c>
      <c r="D269" s="112" t="s">
        <v>519</v>
      </c>
      <c r="E269" s="33" t="s">
        <v>393</v>
      </c>
      <c r="F269" s="52"/>
      <c r="G269" s="33" t="s">
        <v>312</v>
      </c>
      <c r="H269" s="42"/>
      <c r="J269" s="43">
        <v>-1272</v>
      </c>
      <c r="K269" s="43">
        <f t="shared" si="10"/>
        <v>-1272</v>
      </c>
      <c r="L269" s="43">
        <f t="shared" si="9"/>
        <v>8283.44</v>
      </c>
      <c r="M269" s="18" t="s">
        <v>90</v>
      </c>
      <c r="S269" s="57"/>
    </row>
    <row r="270" spans="1:19" x14ac:dyDescent="0.3">
      <c r="A270" s="29"/>
      <c r="B270" s="109" t="s">
        <v>490</v>
      </c>
      <c r="C270" s="11" t="s">
        <v>394</v>
      </c>
      <c r="D270" s="112" t="s">
        <v>519</v>
      </c>
      <c r="E270" s="33" t="s">
        <v>395</v>
      </c>
      <c r="F270" s="27"/>
      <c r="G270" s="61" t="s">
        <v>312</v>
      </c>
      <c r="H270" s="42"/>
      <c r="J270" s="43">
        <v>-3000</v>
      </c>
      <c r="K270" s="43">
        <f t="shared" si="10"/>
        <v>-3000</v>
      </c>
      <c r="L270" s="43">
        <f t="shared" si="9"/>
        <v>5283.4400000000005</v>
      </c>
      <c r="M270" s="18" t="s">
        <v>90</v>
      </c>
      <c r="S270" s="57"/>
    </row>
    <row r="271" spans="1:19" x14ac:dyDescent="0.3">
      <c r="A271" s="29"/>
      <c r="B271" s="109" t="s">
        <v>490</v>
      </c>
      <c r="C271" s="11" t="s">
        <v>397</v>
      </c>
      <c r="D271" s="112" t="s">
        <v>519</v>
      </c>
      <c r="E271" s="33" t="s">
        <v>398</v>
      </c>
      <c r="F271" s="27"/>
      <c r="G271" s="33">
        <v>500161</v>
      </c>
      <c r="H271" s="42"/>
      <c r="J271" s="43">
        <v>-45.81</v>
      </c>
      <c r="K271" s="43">
        <f t="shared" si="10"/>
        <v>-45.81</v>
      </c>
      <c r="L271" s="43">
        <f t="shared" si="9"/>
        <v>5237.63</v>
      </c>
      <c r="M271" s="18" t="s">
        <v>90</v>
      </c>
      <c r="S271" s="57"/>
    </row>
    <row r="272" spans="1:19" x14ac:dyDescent="0.3">
      <c r="A272" s="29"/>
      <c r="B272" s="109" t="s">
        <v>490</v>
      </c>
      <c r="C272" s="11" t="s">
        <v>401</v>
      </c>
      <c r="D272" s="114" t="s">
        <v>504</v>
      </c>
      <c r="E272" s="47" t="s">
        <v>402</v>
      </c>
      <c r="G272" s="13">
        <v>500160</v>
      </c>
      <c r="J272" s="43">
        <v>-50</v>
      </c>
      <c r="K272" s="43">
        <f t="shared" si="10"/>
        <v>-50</v>
      </c>
      <c r="L272" s="43">
        <f t="shared" si="9"/>
        <v>5187.63</v>
      </c>
      <c r="M272" s="18" t="s">
        <v>90</v>
      </c>
      <c r="S272" s="57"/>
    </row>
    <row r="273" spans="1:19" x14ac:dyDescent="0.3">
      <c r="A273" s="29" t="s">
        <v>405</v>
      </c>
      <c r="B273" s="109" t="s">
        <v>490</v>
      </c>
      <c r="C273" s="11" t="s">
        <v>403</v>
      </c>
      <c r="D273" s="112" t="s">
        <v>500</v>
      </c>
      <c r="E273" s="47" t="s">
        <v>404</v>
      </c>
      <c r="F273" s="27"/>
      <c r="G273" s="33"/>
      <c r="H273" s="49">
        <v>50</v>
      </c>
      <c r="J273" s="43">
        <v>0</v>
      </c>
      <c r="K273" s="43">
        <f t="shared" si="10"/>
        <v>50</v>
      </c>
      <c r="L273" s="43">
        <f t="shared" si="9"/>
        <v>5237.63</v>
      </c>
      <c r="S273" s="57"/>
    </row>
    <row r="274" spans="1:19" x14ac:dyDescent="0.3">
      <c r="A274" s="29"/>
      <c r="B274" s="109" t="s">
        <v>490</v>
      </c>
      <c r="C274" s="11" t="s">
        <v>403</v>
      </c>
      <c r="D274" s="112" t="s">
        <v>512</v>
      </c>
      <c r="E274" s="33" t="s">
        <v>204</v>
      </c>
      <c r="F274" s="27"/>
      <c r="G274" s="33"/>
      <c r="H274" s="42">
        <v>59.5</v>
      </c>
      <c r="J274" s="43">
        <v>0</v>
      </c>
      <c r="K274" s="43">
        <f t="shared" si="10"/>
        <v>59.5</v>
      </c>
      <c r="L274" s="43">
        <f t="shared" si="9"/>
        <v>5297.13</v>
      </c>
      <c r="S274" s="57"/>
    </row>
    <row r="275" spans="1:19" x14ac:dyDescent="0.3">
      <c r="A275" s="29"/>
      <c r="B275" s="109" t="s">
        <v>490</v>
      </c>
      <c r="C275" s="238" t="s">
        <v>369</v>
      </c>
      <c r="D275" s="112" t="s">
        <v>512</v>
      </c>
      <c r="E275" s="33" t="s">
        <v>204</v>
      </c>
      <c r="F275" s="27"/>
      <c r="G275" s="33"/>
      <c r="H275" s="42">
        <v>51</v>
      </c>
      <c r="I275" s="43">
        <f>SUM(H273:H275)</f>
        <v>160.5</v>
      </c>
      <c r="J275" s="43">
        <v>0</v>
      </c>
      <c r="K275" s="43">
        <f t="shared" si="10"/>
        <v>51</v>
      </c>
      <c r="L275" s="43">
        <f t="shared" si="9"/>
        <v>5348.13</v>
      </c>
      <c r="M275" s="18" t="s">
        <v>90</v>
      </c>
      <c r="S275" s="57"/>
    </row>
    <row r="276" spans="1:19" x14ac:dyDescent="0.3">
      <c r="A276" s="29" t="s">
        <v>406</v>
      </c>
      <c r="B276" s="109" t="s">
        <v>490</v>
      </c>
      <c r="C276" s="11" t="s">
        <v>407</v>
      </c>
      <c r="D276" s="112" t="s">
        <v>513</v>
      </c>
      <c r="E276" s="55" t="s">
        <v>408</v>
      </c>
      <c r="F276" s="27"/>
      <c r="G276" s="33"/>
      <c r="H276" s="51">
        <v>288</v>
      </c>
      <c r="J276" s="43">
        <v>0</v>
      </c>
      <c r="K276" s="43">
        <f t="shared" si="10"/>
        <v>288</v>
      </c>
      <c r="L276" s="43">
        <f t="shared" si="9"/>
        <v>5636.13</v>
      </c>
      <c r="M276" s="18" t="s">
        <v>90</v>
      </c>
      <c r="S276" s="57"/>
    </row>
    <row r="277" spans="1:19" x14ac:dyDescent="0.3">
      <c r="A277" s="29"/>
      <c r="B277" s="109" t="s">
        <v>490</v>
      </c>
      <c r="C277" s="11" t="s">
        <v>409</v>
      </c>
      <c r="D277" s="112" t="s">
        <v>512</v>
      </c>
      <c r="E277" s="33" t="s">
        <v>204</v>
      </c>
      <c r="F277" s="27"/>
      <c r="G277" s="33"/>
      <c r="H277" s="42">
        <v>85</v>
      </c>
      <c r="J277" s="43">
        <v>0</v>
      </c>
      <c r="K277" s="43">
        <f t="shared" si="10"/>
        <v>85</v>
      </c>
      <c r="L277" s="43">
        <f t="shared" si="9"/>
        <v>5721.13</v>
      </c>
      <c r="M277" s="18" t="s">
        <v>90</v>
      </c>
      <c r="S277" s="57"/>
    </row>
    <row r="278" spans="1:19" x14ac:dyDescent="0.3">
      <c r="A278" s="28" t="s">
        <v>400</v>
      </c>
      <c r="B278" s="105"/>
      <c r="J278" s="43">
        <v>0</v>
      </c>
      <c r="K278" s="43">
        <f t="shared" si="10"/>
        <v>0</v>
      </c>
      <c r="L278" s="43">
        <f t="shared" si="9"/>
        <v>5721.13</v>
      </c>
      <c r="M278" s="16">
        <f>L278+J72+J162-I163+J261+J272-I276-I277+J271</f>
        <v>5515.19</v>
      </c>
      <c r="S278" s="57"/>
    </row>
    <row r="279" spans="1:19" x14ac:dyDescent="0.3">
      <c r="A279" s="12" t="s">
        <v>238</v>
      </c>
      <c r="B279" s="105" t="s">
        <v>400</v>
      </c>
      <c r="C279" s="11" t="s">
        <v>183</v>
      </c>
      <c r="D279" s="112" t="s">
        <v>512</v>
      </c>
      <c r="E279" s="13" t="s">
        <v>204</v>
      </c>
      <c r="F279" s="11"/>
      <c r="H279" s="43">
        <v>58</v>
      </c>
      <c r="J279" s="43">
        <v>0</v>
      </c>
      <c r="K279" s="43">
        <f t="shared" si="10"/>
        <v>58</v>
      </c>
      <c r="L279" s="43">
        <f t="shared" si="9"/>
        <v>5779.13</v>
      </c>
      <c r="M279" s="18" t="s">
        <v>90</v>
      </c>
      <c r="S279" s="57"/>
    </row>
    <row r="280" spans="1:19" x14ac:dyDescent="0.3">
      <c r="A280" s="12"/>
      <c r="B280" s="105" t="s">
        <v>400</v>
      </c>
      <c r="C280" s="11" t="s">
        <v>413</v>
      </c>
      <c r="D280" s="112" t="s">
        <v>512</v>
      </c>
      <c r="E280" s="13" t="s">
        <v>204</v>
      </c>
      <c r="F280" s="11"/>
      <c r="H280" s="43">
        <v>68</v>
      </c>
      <c r="J280" s="43">
        <v>0</v>
      </c>
      <c r="K280" s="43">
        <f t="shared" si="10"/>
        <v>68</v>
      </c>
      <c r="L280" s="43">
        <f t="shared" si="9"/>
        <v>5847.13</v>
      </c>
      <c r="S280" s="57"/>
    </row>
    <row r="281" spans="1:19" x14ac:dyDescent="0.3">
      <c r="A281" s="12"/>
      <c r="B281" s="105" t="s">
        <v>400</v>
      </c>
      <c r="C281" s="11" t="s">
        <v>413</v>
      </c>
      <c r="D281" s="112" t="s">
        <v>500</v>
      </c>
      <c r="E281" s="47" t="s">
        <v>414</v>
      </c>
      <c r="F281" s="11"/>
      <c r="G281" s="33"/>
      <c r="H281" s="49">
        <v>50</v>
      </c>
      <c r="I281" s="43">
        <f>SUM(H279:H281)</f>
        <v>176</v>
      </c>
      <c r="J281" s="43">
        <v>0</v>
      </c>
      <c r="K281" s="43">
        <f t="shared" si="10"/>
        <v>50</v>
      </c>
      <c r="L281" s="43">
        <f t="shared" si="9"/>
        <v>5897.13</v>
      </c>
      <c r="M281" s="18" t="s">
        <v>90</v>
      </c>
      <c r="S281" s="57"/>
    </row>
    <row r="282" spans="1:19" x14ac:dyDescent="0.3">
      <c r="A282" s="12"/>
      <c r="B282" s="105" t="s">
        <v>400</v>
      </c>
      <c r="C282" s="11" t="s">
        <v>50</v>
      </c>
      <c r="D282" s="112" t="s">
        <v>8</v>
      </c>
      <c r="E282" s="13" t="s">
        <v>8</v>
      </c>
      <c r="F282" s="11"/>
      <c r="G282" s="13" t="s">
        <v>49</v>
      </c>
      <c r="J282" s="43">
        <v>-176.4</v>
      </c>
      <c r="K282" s="43">
        <f t="shared" si="10"/>
        <v>-176.4</v>
      </c>
      <c r="L282" s="43">
        <f t="shared" si="9"/>
        <v>5720.7300000000005</v>
      </c>
      <c r="M282" s="18" t="s">
        <v>90</v>
      </c>
      <c r="S282" s="57"/>
    </row>
    <row r="283" spans="1:19" x14ac:dyDescent="0.3">
      <c r="A283" s="26"/>
      <c r="B283" s="105" t="s">
        <v>400</v>
      </c>
      <c r="C283" s="11" t="s">
        <v>325</v>
      </c>
      <c r="D283" s="112" t="s">
        <v>12</v>
      </c>
      <c r="E283" s="13" t="s">
        <v>59</v>
      </c>
      <c r="F283" s="16"/>
      <c r="G283" s="13" t="s">
        <v>49</v>
      </c>
      <c r="J283" s="43">
        <v>-288.39999999999998</v>
      </c>
      <c r="K283" s="43">
        <f t="shared" si="10"/>
        <v>-288.39999999999998</v>
      </c>
      <c r="L283" s="43">
        <f t="shared" si="9"/>
        <v>5432.3300000000008</v>
      </c>
      <c r="M283" s="18" t="s">
        <v>90</v>
      </c>
      <c r="S283" s="57"/>
    </row>
    <row r="284" spans="1:19" x14ac:dyDescent="0.3">
      <c r="A284" s="26"/>
      <c r="B284" s="105" t="s">
        <v>400</v>
      </c>
      <c r="C284" s="11" t="s">
        <v>299</v>
      </c>
      <c r="D284" s="112" t="s">
        <v>301</v>
      </c>
      <c r="E284" s="13" t="s">
        <v>301</v>
      </c>
      <c r="F284" s="11"/>
      <c r="G284" s="13" t="s">
        <v>49</v>
      </c>
      <c r="J284" s="43">
        <v>-34.68</v>
      </c>
      <c r="K284" s="43">
        <f t="shared" si="10"/>
        <v>-34.68</v>
      </c>
      <c r="L284" s="43">
        <f t="shared" si="9"/>
        <v>5397.6500000000005</v>
      </c>
      <c r="M284" s="18" t="s">
        <v>90</v>
      </c>
      <c r="N284" s="16"/>
      <c r="S284" s="57"/>
    </row>
    <row r="285" spans="1:19" x14ac:dyDescent="0.3">
      <c r="A285" s="12"/>
      <c r="B285" s="105" t="s">
        <v>400</v>
      </c>
      <c r="C285" s="11" t="s">
        <v>415</v>
      </c>
      <c r="D285" s="112" t="s">
        <v>512</v>
      </c>
      <c r="E285" s="13" t="s">
        <v>204</v>
      </c>
      <c r="F285" s="11"/>
      <c r="H285" s="43">
        <v>17</v>
      </c>
      <c r="J285" s="43">
        <v>0</v>
      </c>
      <c r="K285" s="43">
        <f t="shared" si="10"/>
        <v>17</v>
      </c>
      <c r="L285" s="43">
        <f t="shared" si="9"/>
        <v>5414.6500000000005</v>
      </c>
      <c r="N285" s="16"/>
      <c r="S285" s="57"/>
    </row>
    <row r="286" spans="1:19" x14ac:dyDescent="0.3">
      <c r="A286" s="12"/>
      <c r="B286" s="105" t="s">
        <v>400</v>
      </c>
      <c r="C286" s="11" t="s">
        <v>416</v>
      </c>
      <c r="D286" s="112" t="s">
        <v>512</v>
      </c>
      <c r="E286" s="33" t="s">
        <v>204</v>
      </c>
      <c r="F286" s="27"/>
      <c r="G286" s="33"/>
      <c r="H286" s="42">
        <v>34</v>
      </c>
      <c r="I286" s="43">
        <f>SUM(H285:H286)</f>
        <v>51</v>
      </c>
      <c r="J286" s="43">
        <v>0</v>
      </c>
      <c r="K286" s="43">
        <f t="shared" si="10"/>
        <v>34</v>
      </c>
      <c r="L286" s="43">
        <f t="shared" si="9"/>
        <v>5448.6500000000005</v>
      </c>
      <c r="M286" s="18" t="s">
        <v>90</v>
      </c>
      <c r="S286" s="57"/>
    </row>
    <row r="287" spans="1:19" x14ac:dyDescent="0.3">
      <c r="B287" s="105" t="s">
        <v>400</v>
      </c>
      <c r="C287" s="11" t="s">
        <v>53</v>
      </c>
      <c r="D287" s="112" t="s">
        <v>11</v>
      </c>
      <c r="E287" s="13" t="s">
        <v>11</v>
      </c>
      <c r="F287" s="11"/>
      <c r="G287" s="13" t="s">
        <v>49</v>
      </c>
      <c r="H287" s="42"/>
      <c r="J287" s="43">
        <v>-82.88</v>
      </c>
      <c r="K287" s="43">
        <f t="shared" si="10"/>
        <v>-82.88</v>
      </c>
      <c r="L287" s="43">
        <f t="shared" si="9"/>
        <v>5365.77</v>
      </c>
      <c r="M287" s="18" t="s">
        <v>90</v>
      </c>
      <c r="S287" s="57"/>
    </row>
    <row r="288" spans="1:19" x14ac:dyDescent="0.3">
      <c r="B288" s="105" t="s">
        <v>400</v>
      </c>
      <c r="C288" s="15" t="s">
        <v>48</v>
      </c>
      <c r="D288" s="112" t="s">
        <v>12</v>
      </c>
      <c r="E288" s="33" t="s">
        <v>59</v>
      </c>
      <c r="F288" s="52"/>
      <c r="G288" s="33"/>
      <c r="H288" s="42"/>
      <c r="J288" s="43">
        <v>-85.61</v>
      </c>
      <c r="K288" s="43">
        <f t="shared" si="10"/>
        <v>-85.61</v>
      </c>
      <c r="L288" s="43">
        <f t="shared" si="9"/>
        <v>5280.1600000000008</v>
      </c>
      <c r="M288" s="18" t="s">
        <v>90</v>
      </c>
      <c r="S288" s="57"/>
    </row>
    <row r="289" spans="1:19" x14ac:dyDescent="0.3">
      <c r="B289" s="105" t="s">
        <v>400</v>
      </c>
      <c r="C289" s="11" t="s">
        <v>316</v>
      </c>
      <c r="D289" s="112" t="s">
        <v>317</v>
      </c>
      <c r="E289" s="33" t="s">
        <v>418</v>
      </c>
      <c r="F289" s="52"/>
      <c r="G289" s="33"/>
      <c r="H289" s="42">
        <v>13221.12</v>
      </c>
      <c r="J289" s="43">
        <v>0</v>
      </c>
      <c r="K289" s="43">
        <f t="shared" si="10"/>
        <v>13221.12</v>
      </c>
      <c r="L289" s="43">
        <f t="shared" si="9"/>
        <v>18501.280000000002</v>
      </c>
      <c r="M289" s="18" t="s">
        <v>90</v>
      </c>
      <c r="S289" s="57"/>
    </row>
    <row r="290" spans="1:19" x14ac:dyDescent="0.3">
      <c r="B290" s="105" t="s">
        <v>400</v>
      </c>
      <c r="C290" s="11" t="s">
        <v>50</v>
      </c>
      <c r="D290" s="112" t="s">
        <v>9</v>
      </c>
      <c r="E290" s="13" t="s">
        <v>9</v>
      </c>
      <c r="F290" s="11"/>
      <c r="G290" s="13" t="s">
        <v>49</v>
      </c>
      <c r="H290" s="42"/>
      <c r="J290" s="43">
        <v>-4.4800000000000004</v>
      </c>
      <c r="K290" s="43">
        <f t="shared" si="10"/>
        <v>-4.4800000000000004</v>
      </c>
      <c r="L290" s="43">
        <f t="shared" si="9"/>
        <v>18496.800000000003</v>
      </c>
      <c r="M290" s="18" t="s">
        <v>90</v>
      </c>
      <c r="S290" s="57"/>
    </row>
    <row r="291" spans="1:19" x14ac:dyDescent="0.3">
      <c r="B291" s="105" t="s">
        <v>400</v>
      </c>
      <c r="C291" s="15" t="s">
        <v>419</v>
      </c>
      <c r="D291" s="112" t="s">
        <v>500</v>
      </c>
      <c r="E291" s="47" t="s">
        <v>420</v>
      </c>
      <c r="G291" s="33"/>
      <c r="H291" s="49">
        <v>50</v>
      </c>
      <c r="J291" s="43">
        <v>0</v>
      </c>
      <c r="K291" s="43">
        <f t="shared" si="10"/>
        <v>50</v>
      </c>
      <c r="L291" s="43">
        <f t="shared" si="9"/>
        <v>18546.800000000003</v>
      </c>
      <c r="S291" s="57"/>
    </row>
    <row r="292" spans="1:19" x14ac:dyDescent="0.3">
      <c r="B292" s="105" t="s">
        <v>400</v>
      </c>
      <c r="C292" s="15" t="s">
        <v>419</v>
      </c>
      <c r="D292" s="112" t="s">
        <v>512</v>
      </c>
      <c r="E292" s="13" t="s">
        <v>421</v>
      </c>
      <c r="H292" s="43">
        <v>68</v>
      </c>
      <c r="I292" s="43">
        <f>SUM(H291:H292)</f>
        <v>118</v>
      </c>
      <c r="J292" s="43">
        <v>0</v>
      </c>
      <c r="K292" s="43">
        <f t="shared" si="10"/>
        <v>68</v>
      </c>
      <c r="L292" s="43">
        <f t="shared" si="9"/>
        <v>18614.800000000003</v>
      </c>
      <c r="M292" s="18" t="s">
        <v>90</v>
      </c>
      <c r="S292" s="57"/>
    </row>
    <row r="293" spans="1:19" x14ac:dyDescent="0.3">
      <c r="B293" s="105" t="s">
        <v>400</v>
      </c>
      <c r="C293" s="15" t="s">
        <v>422</v>
      </c>
      <c r="D293" s="112" t="s">
        <v>512</v>
      </c>
      <c r="E293" s="13" t="s">
        <v>421</v>
      </c>
      <c r="H293" s="43">
        <v>59.5</v>
      </c>
      <c r="J293" s="43">
        <v>0</v>
      </c>
      <c r="K293" s="43">
        <f t="shared" si="10"/>
        <v>59.5</v>
      </c>
      <c r="L293" s="43">
        <f t="shared" si="9"/>
        <v>18674.300000000003</v>
      </c>
      <c r="M293" s="18" t="s">
        <v>90</v>
      </c>
      <c r="S293" s="57"/>
    </row>
    <row r="294" spans="1:19" x14ac:dyDescent="0.3">
      <c r="A294" s="39">
        <v>18</v>
      </c>
      <c r="B294" s="105" t="s">
        <v>400</v>
      </c>
      <c r="C294" s="15" t="s">
        <v>423</v>
      </c>
      <c r="D294" s="112" t="s">
        <v>500</v>
      </c>
      <c r="E294" s="47" t="s">
        <v>424</v>
      </c>
      <c r="H294" s="49">
        <v>50</v>
      </c>
      <c r="J294" s="43">
        <v>0</v>
      </c>
      <c r="K294" s="43">
        <f t="shared" si="10"/>
        <v>50</v>
      </c>
      <c r="L294" s="43">
        <f t="shared" si="9"/>
        <v>18724.300000000003</v>
      </c>
      <c r="S294" s="57"/>
    </row>
    <row r="295" spans="1:19" x14ac:dyDescent="0.3">
      <c r="B295" s="105" t="s">
        <v>400</v>
      </c>
      <c r="C295" s="15" t="s">
        <v>423</v>
      </c>
      <c r="D295" s="112" t="s">
        <v>512</v>
      </c>
      <c r="E295" s="13" t="s">
        <v>421</v>
      </c>
      <c r="H295" s="43">
        <v>59.5</v>
      </c>
      <c r="I295" s="43">
        <f>SUM(H294:H295)</f>
        <v>109.5</v>
      </c>
      <c r="J295" s="43">
        <v>0</v>
      </c>
      <c r="K295" s="43">
        <f t="shared" si="10"/>
        <v>59.5</v>
      </c>
      <c r="L295" s="43">
        <f t="shared" si="9"/>
        <v>18783.800000000003</v>
      </c>
      <c r="M295" s="18" t="s">
        <v>90</v>
      </c>
      <c r="S295" s="57"/>
    </row>
    <row r="296" spans="1:19" x14ac:dyDescent="0.3">
      <c r="B296" s="105" t="s">
        <v>400</v>
      </c>
      <c r="C296" s="11" t="s">
        <v>460</v>
      </c>
      <c r="D296" s="112" t="s">
        <v>504</v>
      </c>
      <c r="E296" s="47" t="s">
        <v>425</v>
      </c>
      <c r="F296" s="27"/>
      <c r="G296" s="33">
        <v>500163</v>
      </c>
      <c r="H296" s="42"/>
      <c r="J296" s="43">
        <v>-50</v>
      </c>
      <c r="K296" s="43">
        <f t="shared" si="10"/>
        <v>-50</v>
      </c>
      <c r="L296" s="43">
        <f t="shared" si="9"/>
        <v>18733.800000000003</v>
      </c>
      <c r="M296" s="18" t="s">
        <v>90</v>
      </c>
      <c r="S296" s="57"/>
    </row>
    <row r="297" spans="1:19" x14ac:dyDescent="0.3">
      <c r="B297" s="105" t="s">
        <v>400</v>
      </c>
      <c r="C297" s="11" t="s">
        <v>426</v>
      </c>
      <c r="D297" s="112" t="s">
        <v>512</v>
      </c>
      <c r="E297" s="13" t="s">
        <v>421</v>
      </c>
      <c r="F297" s="52"/>
      <c r="G297" s="33" t="s">
        <v>243</v>
      </c>
      <c r="H297" s="42">
        <v>8</v>
      </c>
      <c r="J297" s="43">
        <v>0</v>
      </c>
      <c r="K297" s="43">
        <f t="shared" si="10"/>
        <v>8</v>
      </c>
      <c r="L297" s="43">
        <f t="shared" si="9"/>
        <v>18741.800000000003</v>
      </c>
      <c r="M297" s="18" t="s">
        <v>90</v>
      </c>
      <c r="S297" s="57"/>
    </row>
    <row r="298" spans="1:19" x14ac:dyDescent="0.3">
      <c r="A298" s="12"/>
      <c r="B298" s="105" t="s">
        <v>400</v>
      </c>
      <c r="C298" s="11" t="s">
        <v>427</v>
      </c>
      <c r="D298" s="112" t="s">
        <v>512</v>
      </c>
      <c r="E298" s="13" t="s">
        <v>421</v>
      </c>
      <c r="F298" s="27"/>
      <c r="G298" s="33" t="s">
        <v>243</v>
      </c>
      <c r="H298" s="42">
        <v>8</v>
      </c>
      <c r="J298" s="43">
        <v>0</v>
      </c>
      <c r="K298" s="43">
        <f t="shared" si="10"/>
        <v>8</v>
      </c>
      <c r="L298" s="43">
        <f t="shared" si="9"/>
        <v>18749.800000000003</v>
      </c>
      <c r="M298" s="18" t="s">
        <v>90</v>
      </c>
      <c r="S298" s="57"/>
    </row>
    <row r="299" spans="1:19" x14ac:dyDescent="0.3">
      <c r="A299" s="12"/>
      <c r="B299" s="105" t="s">
        <v>400</v>
      </c>
      <c r="C299" s="11" t="s">
        <v>428</v>
      </c>
      <c r="D299" s="112" t="s">
        <v>512</v>
      </c>
      <c r="E299" s="13" t="s">
        <v>421</v>
      </c>
      <c r="F299" s="27"/>
      <c r="G299" s="33" t="s">
        <v>429</v>
      </c>
      <c r="H299" s="42">
        <v>8</v>
      </c>
      <c r="J299" s="43">
        <v>0</v>
      </c>
      <c r="K299" s="43">
        <f t="shared" si="10"/>
        <v>8</v>
      </c>
      <c r="L299" s="43">
        <f t="shared" si="9"/>
        <v>18757.800000000003</v>
      </c>
      <c r="M299" s="18" t="s">
        <v>90</v>
      </c>
      <c r="S299" s="57"/>
    </row>
    <row r="300" spans="1:19" x14ac:dyDescent="0.3">
      <c r="A300" s="53"/>
      <c r="B300" s="105" t="s">
        <v>400</v>
      </c>
      <c r="C300" s="11" t="s">
        <v>138</v>
      </c>
      <c r="D300" s="112" t="s">
        <v>513</v>
      </c>
      <c r="E300" s="55" t="s">
        <v>430</v>
      </c>
      <c r="F300" s="27"/>
      <c r="G300" s="33"/>
      <c r="H300" s="51">
        <v>261.8</v>
      </c>
      <c r="J300" s="43">
        <v>0</v>
      </c>
      <c r="K300" s="43">
        <f t="shared" si="10"/>
        <v>261.8</v>
      </c>
      <c r="L300" s="43">
        <f t="shared" si="9"/>
        <v>19019.600000000002</v>
      </c>
      <c r="M300" s="18" t="s">
        <v>90</v>
      </c>
      <c r="S300" s="57"/>
    </row>
    <row r="301" spans="1:19" x14ac:dyDescent="0.3">
      <c r="A301" s="12"/>
      <c r="B301" s="105" t="s">
        <v>400</v>
      </c>
      <c r="C301" s="238" t="s">
        <v>369</v>
      </c>
      <c r="D301" s="112" t="s">
        <v>512</v>
      </c>
      <c r="E301" s="33" t="s">
        <v>421</v>
      </c>
      <c r="F301" s="27"/>
      <c r="G301" s="33"/>
      <c r="H301" s="42">
        <v>51</v>
      </c>
      <c r="J301" s="43">
        <v>0</v>
      </c>
      <c r="K301" s="43">
        <f t="shared" si="10"/>
        <v>51</v>
      </c>
      <c r="L301" s="43">
        <f t="shared" si="9"/>
        <v>19070.600000000002</v>
      </c>
      <c r="M301" s="18" t="s">
        <v>90</v>
      </c>
      <c r="S301" s="57"/>
    </row>
    <row r="302" spans="1:19" x14ac:dyDescent="0.3">
      <c r="B302" s="105" t="s">
        <v>400</v>
      </c>
      <c r="C302" s="11" t="s">
        <v>431</v>
      </c>
      <c r="D302" s="112" t="s">
        <v>504</v>
      </c>
      <c r="E302" s="47" t="s">
        <v>432</v>
      </c>
      <c r="F302" s="27"/>
      <c r="G302" s="33">
        <v>500165</v>
      </c>
      <c r="H302" s="42"/>
      <c r="J302" s="43">
        <v>-50</v>
      </c>
      <c r="K302" s="43">
        <f t="shared" si="10"/>
        <v>-50</v>
      </c>
      <c r="L302" s="43">
        <f t="shared" si="9"/>
        <v>19020.600000000002</v>
      </c>
      <c r="M302" s="18" t="s">
        <v>90</v>
      </c>
      <c r="S302" s="57"/>
    </row>
    <row r="303" spans="1:19" x14ac:dyDescent="0.3">
      <c r="A303" s="12"/>
      <c r="B303" s="105" t="s">
        <v>400</v>
      </c>
      <c r="C303" s="11" t="s">
        <v>433</v>
      </c>
      <c r="D303" s="112" t="s">
        <v>500</v>
      </c>
      <c r="E303" s="47" t="s">
        <v>461</v>
      </c>
      <c r="F303" s="27"/>
      <c r="G303" s="33"/>
      <c r="H303" s="49">
        <v>50</v>
      </c>
      <c r="J303" s="43">
        <v>0</v>
      </c>
      <c r="K303" s="43">
        <f t="shared" si="10"/>
        <v>50</v>
      </c>
      <c r="L303" s="43">
        <f t="shared" si="9"/>
        <v>19070.600000000002</v>
      </c>
      <c r="S303" s="57"/>
    </row>
    <row r="304" spans="1:19" x14ac:dyDescent="0.3">
      <c r="A304" s="12"/>
      <c r="B304" s="105" t="s">
        <v>400</v>
      </c>
      <c r="C304" s="11" t="s">
        <v>433</v>
      </c>
      <c r="D304" s="112" t="s">
        <v>512</v>
      </c>
      <c r="E304" s="33" t="s">
        <v>421</v>
      </c>
      <c r="F304" s="27"/>
      <c r="G304" s="33"/>
      <c r="H304" s="42">
        <v>68</v>
      </c>
      <c r="I304" s="43">
        <f>SUM(H303:H304)</f>
        <v>118</v>
      </c>
      <c r="J304" s="43">
        <v>0</v>
      </c>
      <c r="K304" s="43">
        <f t="shared" si="10"/>
        <v>68</v>
      </c>
      <c r="L304" s="43">
        <f t="shared" si="9"/>
        <v>19138.600000000002</v>
      </c>
      <c r="M304" s="18" t="s">
        <v>90</v>
      </c>
      <c r="S304" s="57"/>
    </row>
    <row r="305" spans="1:19" x14ac:dyDescent="0.3">
      <c r="A305" s="28" t="s">
        <v>82</v>
      </c>
      <c r="B305" s="105"/>
      <c r="C305" s="11"/>
      <c r="D305" s="112"/>
      <c r="E305" s="33"/>
      <c r="F305" s="27"/>
      <c r="G305" s="33"/>
      <c r="H305" s="42"/>
      <c r="J305" s="43">
        <v>0</v>
      </c>
      <c r="K305" s="43">
        <f t="shared" si="10"/>
        <v>0</v>
      </c>
      <c r="L305" s="43">
        <f t="shared" si="9"/>
        <v>19138.600000000002</v>
      </c>
      <c r="M305" s="16">
        <f>L305+J72+J261-I300-I301+I315-J316+J302+J296</f>
        <v>19261.47</v>
      </c>
      <c r="N305" s="11"/>
      <c r="S305" s="57"/>
    </row>
    <row r="306" spans="1:19" x14ac:dyDescent="0.3">
      <c r="A306" s="26"/>
      <c r="B306" s="108" t="s">
        <v>491</v>
      </c>
      <c r="C306" s="11" t="s">
        <v>435</v>
      </c>
      <c r="D306" s="132" t="s">
        <v>623</v>
      </c>
      <c r="E306" s="13" t="s">
        <v>436</v>
      </c>
      <c r="F306" s="11"/>
      <c r="G306" s="13">
        <v>500122</v>
      </c>
      <c r="J306" s="43">
        <v>-31.95</v>
      </c>
      <c r="K306" s="43">
        <f t="shared" si="10"/>
        <v>-31.95</v>
      </c>
      <c r="L306" s="43">
        <f t="shared" si="9"/>
        <v>19106.650000000001</v>
      </c>
      <c r="M306" s="18" t="s">
        <v>90</v>
      </c>
      <c r="N306" s="11"/>
      <c r="S306" s="57"/>
    </row>
    <row r="307" spans="1:19" x14ac:dyDescent="0.3">
      <c r="A307" s="12"/>
      <c r="B307" s="108" t="s">
        <v>491</v>
      </c>
      <c r="C307" s="11" t="s">
        <v>438</v>
      </c>
      <c r="D307" s="112" t="s">
        <v>512</v>
      </c>
      <c r="E307" s="33" t="s">
        <v>437</v>
      </c>
      <c r="F307" s="27"/>
      <c r="G307" s="33">
        <v>500121</v>
      </c>
      <c r="H307" s="42"/>
      <c r="J307" s="43">
        <v>-8</v>
      </c>
      <c r="K307" s="43">
        <f t="shared" si="10"/>
        <v>-8</v>
      </c>
      <c r="L307" s="43">
        <f t="shared" si="9"/>
        <v>19098.650000000001</v>
      </c>
      <c r="M307" s="18" t="s">
        <v>90</v>
      </c>
      <c r="N307" s="11"/>
      <c r="S307" s="57"/>
    </row>
    <row r="308" spans="1:19" x14ac:dyDescent="0.3">
      <c r="A308" s="12"/>
      <c r="B308" s="108" t="s">
        <v>491</v>
      </c>
      <c r="C308" s="15" t="s">
        <v>423</v>
      </c>
      <c r="D308" s="112" t="s">
        <v>504</v>
      </c>
      <c r="E308" s="47" t="s">
        <v>439</v>
      </c>
      <c r="F308" s="27"/>
      <c r="G308" s="33">
        <v>500167</v>
      </c>
      <c r="H308" s="42"/>
      <c r="J308" s="43">
        <v>-50</v>
      </c>
      <c r="K308" s="43">
        <f t="shared" si="10"/>
        <v>-50</v>
      </c>
      <c r="L308" s="43">
        <f t="shared" si="9"/>
        <v>19048.650000000001</v>
      </c>
      <c r="N308" s="11"/>
      <c r="S308" s="57"/>
    </row>
    <row r="309" spans="1:19" x14ac:dyDescent="0.3">
      <c r="A309" s="12"/>
      <c r="B309" s="108" t="s">
        <v>491</v>
      </c>
      <c r="C309" s="11" t="s">
        <v>440</v>
      </c>
      <c r="D309" s="112" t="s">
        <v>504</v>
      </c>
      <c r="E309" s="47" t="s">
        <v>441</v>
      </c>
      <c r="F309" s="27"/>
      <c r="G309" s="33">
        <v>500166</v>
      </c>
      <c r="H309" s="42"/>
      <c r="J309" s="43">
        <v>-50</v>
      </c>
      <c r="K309" s="43">
        <f t="shared" si="10"/>
        <v>-50</v>
      </c>
      <c r="L309" s="43">
        <f t="shared" si="9"/>
        <v>18998.650000000001</v>
      </c>
      <c r="M309" s="16" t="s">
        <v>90</v>
      </c>
      <c r="N309" s="11"/>
      <c r="S309" s="57"/>
    </row>
    <row r="310" spans="1:19" x14ac:dyDescent="0.3">
      <c r="A310" s="12"/>
      <c r="B310" s="108" t="s">
        <v>491</v>
      </c>
      <c r="C310" s="11" t="s">
        <v>446</v>
      </c>
      <c r="D310" s="112" t="s">
        <v>9</v>
      </c>
      <c r="E310" s="13" t="s">
        <v>52</v>
      </c>
      <c r="F310" s="11"/>
      <c r="G310" s="13" t="s">
        <v>49</v>
      </c>
      <c r="H310" s="42"/>
      <c r="J310" s="43">
        <v>-106.37</v>
      </c>
      <c r="K310" s="43">
        <f t="shared" si="10"/>
        <v>-106.37</v>
      </c>
      <c r="L310" s="43">
        <f t="shared" si="9"/>
        <v>18892.280000000002</v>
      </c>
      <c r="M310" s="18" t="s">
        <v>90</v>
      </c>
      <c r="N310" s="11"/>
      <c r="S310" s="57"/>
    </row>
    <row r="311" spans="1:19" x14ac:dyDescent="0.3">
      <c r="A311" s="12"/>
      <c r="B311" s="108" t="s">
        <v>491</v>
      </c>
      <c r="C311" s="11" t="s">
        <v>325</v>
      </c>
      <c r="D311" s="112" t="s">
        <v>12</v>
      </c>
      <c r="E311" s="33" t="s">
        <v>12</v>
      </c>
      <c r="F311" s="27"/>
      <c r="G311" s="13" t="s">
        <v>49</v>
      </c>
      <c r="H311" s="42"/>
      <c r="J311" s="43">
        <v>-288.39999999999998</v>
      </c>
      <c r="K311" s="43">
        <f t="shared" si="10"/>
        <v>-288.39999999999998</v>
      </c>
      <c r="L311" s="43">
        <f t="shared" si="9"/>
        <v>18603.88</v>
      </c>
      <c r="M311" s="18" t="s">
        <v>90</v>
      </c>
      <c r="S311" s="57"/>
    </row>
    <row r="312" spans="1:19" x14ac:dyDescent="0.3">
      <c r="A312" s="12"/>
      <c r="B312" s="108" t="s">
        <v>491</v>
      </c>
      <c r="C312" s="11" t="s">
        <v>299</v>
      </c>
      <c r="D312" s="112" t="s">
        <v>301</v>
      </c>
      <c r="E312" s="33" t="s">
        <v>301</v>
      </c>
      <c r="F312" s="27"/>
      <c r="G312" s="13" t="s">
        <v>49</v>
      </c>
      <c r="H312" s="42"/>
      <c r="J312" s="43">
        <v>-34.68</v>
      </c>
      <c r="K312" s="43">
        <f t="shared" si="10"/>
        <v>-34.68</v>
      </c>
      <c r="L312" s="43">
        <f t="shared" si="9"/>
        <v>18569.2</v>
      </c>
      <c r="M312" s="18" t="s">
        <v>90</v>
      </c>
      <c r="S312" s="57"/>
    </row>
    <row r="313" spans="1:19" x14ac:dyDescent="0.3">
      <c r="A313" s="12"/>
      <c r="B313" s="108" t="s">
        <v>491</v>
      </c>
      <c r="C313" s="11" t="s">
        <v>48</v>
      </c>
      <c r="D313" s="112" t="s">
        <v>12</v>
      </c>
      <c r="E313" s="33" t="s">
        <v>59</v>
      </c>
      <c r="F313" s="27"/>
      <c r="G313" s="13" t="s">
        <v>49</v>
      </c>
      <c r="H313" s="42"/>
      <c r="J313" s="43">
        <v>-85.61</v>
      </c>
      <c r="K313" s="43">
        <f t="shared" si="10"/>
        <v>-85.61</v>
      </c>
      <c r="L313" s="43">
        <f t="shared" si="9"/>
        <v>18483.59</v>
      </c>
      <c r="M313" s="18" t="s">
        <v>90</v>
      </c>
      <c r="S313" s="57"/>
    </row>
    <row r="314" spans="1:19" x14ac:dyDescent="0.3">
      <c r="A314" s="12"/>
      <c r="B314" s="108" t="s">
        <v>491</v>
      </c>
      <c r="C314" s="11" t="s">
        <v>53</v>
      </c>
      <c r="D314" s="112" t="s">
        <v>11</v>
      </c>
      <c r="E314" s="13" t="s">
        <v>11</v>
      </c>
      <c r="F314" s="27"/>
      <c r="G314" s="33" t="s">
        <v>49</v>
      </c>
      <c r="H314" s="42"/>
      <c r="J314" s="43">
        <v>-82.88</v>
      </c>
      <c r="K314" s="43">
        <f t="shared" si="10"/>
        <v>-82.88</v>
      </c>
      <c r="L314" s="43">
        <f t="shared" si="9"/>
        <v>18400.71</v>
      </c>
      <c r="M314" s="18" t="s">
        <v>90</v>
      </c>
      <c r="S314" s="57"/>
    </row>
    <row r="315" spans="1:19" x14ac:dyDescent="0.3">
      <c r="A315" s="12"/>
      <c r="B315" s="108" t="s">
        <v>491</v>
      </c>
      <c r="C315" s="11" t="s">
        <v>346</v>
      </c>
      <c r="D315" s="112" t="s">
        <v>513</v>
      </c>
      <c r="E315" s="55" t="s">
        <v>442</v>
      </c>
      <c r="F315" s="27"/>
      <c r="G315" s="33"/>
      <c r="H315" s="51">
        <v>170</v>
      </c>
      <c r="J315" s="43">
        <v>0</v>
      </c>
      <c r="K315" s="43">
        <f t="shared" si="10"/>
        <v>170</v>
      </c>
      <c r="L315" s="43">
        <f t="shared" si="9"/>
        <v>18570.71</v>
      </c>
      <c r="M315" s="18" t="s">
        <v>90</v>
      </c>
      <c r="S315" s="57"/>
    </row>
    <row r="316" spans="1:19" x14ac:dyDescent="0.3">
      <c r="B316" s="108" t="s">
        <v>491</v>
      </c>
      <c r="C316" s="11" t="s">
        <v>443</v>
      </c>
      <c r="D316" s="132" t="s">
        <v>623</v>
      </c>
      <c r="E316" s="33" t="s">
        <v>260</v>
      </c>
      <c r="F316" s="27"/>
      <c r="G316" s="33"/>
      <c r="H316" s="42"/>
      <c r="J316" s="43">
        <v>-283</v>
      </c>
      <c r="K316" s="43">
        <f t="shared" si="10"/>
        <v>-283</v>
      </c>
      <c r="L316" s="43">
        <f t="shared" si="9"/>
        <v>18287.71</v>
      </c>
      <c r="M316" s="18" t="s">
        <v>90</v>
      </c>
      <c r="S316" s="57"/>
    </row>
    <row r="317" spans="1:19" x14ac:dyDescent="0.3">
      <c r="B317" s="108" t="s">
        <v>491</v>
      </c>
      <c r="C317" s="11" t="s">
        <v>444</v>
      </c>
      <c r="D317" s="112" t="s">
        <v>514</v>
      </c>
      <c r="E317" s="33" t="s">
        <v>445</v>
      </c>
      <c r="F317" s="27"/>
      <c r="G317" s="33">
        <v>500123</v>
      </c>
      <c r="H317" s="42"/>
      <c r="J317" s="43">
        <v>-5.03</v>
      </c>
      <c r="K317" s="43">
        <f t="shared" si="10"/>
        <v>-5.03</v>
      </c>
      <c r="L317" s="43">
        <f t="shared" si="9"/>
        <v>18282.68</v>
      </c>
      <c r="M317" s="18" t="s">
        <v>90</v>
      </c>
      <c r="S317" s="57"/>
    </row>
    <row r="318" spans="1:19" x14ac:dyDescent="0.3">
      <c r="A318" s="12"/>
      <c r="B318" s="108" t="s">
        <v>491</v>
      </c>
      <c r="C318" s="11" t="s">
        <v>447</v>
      </c>
      <c r="D318" s="112" t="s">
        <v>512</v>
      </c>
      <c r="E318" s="33" t="s">
        <v>421</v>
      </c>
      <c r="F318" s="27"/>
      <c r="G318" s="33"/>
      <c r="H318" s="42">
        <v>10</v>
      </c>
      <c r="J318" s="43">
        <v>0</v>
      </c>
      <c r="K318" s="43">
        <f t="shared" si="10"/>
        <v>10</v>
      </c>
      <c r="L318" s="43">
        <f t="shared" si="9"/>
        <v>18292.68</v>
      </c>
      <c r="M318" s="18" t="s">
        <v>90</v>
      </c>
      <c r="S318" s="57"/>
    </row>
    <row r="319" spans="1:19" x14ac:dyDescent="0.3">
      <c r="A319" s="12"/>
      <c r="B319" s="108" t="s">
        <v>491</v>
      </c>
      <c r="C319" s="11" t="s">
        <v>448</v>
      </c>
      <c r="D319" s="112" t="s">
        <v>500</v>
      </c>
      <c r="E319" s="47" t="s">
        <v>462</v>
      </c>
      <c r="G319" s="33"/>
      <c r="H319" s="49">
        <v>50</v>
      </c>
      <c r="J319" s="43">
        <v>0</v>
      </c>
      <c r="K319" s="43">
        <f t="shared" si="10"/>
        <v>50</v>
      </c>
      <c r="L319" s="43">
        <f t="shared" si="9"/>
        <v>18342.68</v>
      </c>
      <c r="S319" s="57"/>
    </row>
    <row r="320" spans="1:19" x14ac:dyDescent="0.3">
      <c r="A320" s="26"/>
      <c r="B320" s="108" t="s">
        <v>491</v>
      </c>
      <c r="C320" s="11" t="s">
        <v>449</v>
      </c>
      <c r="D320" s="112" t="s">
        <v>512</v>
      </c>
      <c r="E320" s="13" t="s">
        <v>421</v>
      </c>
      <c r="F320" s="16"/>
      <c r="H320" s="43">
        <v>31</v>
      </c>
      <c r="I320" s="43">
        <f>SUM(H319:H320)</f>
        <v>81</v>
      </c>
      <c r="J320" s="43">
        <v>0</v>
      </c>
      <c r="K320" s="43">
        <f t="shared" si="10"/>
        <v>31</v>
      </c>
      <c r="L320" s="43">
        <f t="shared" si="9"/>
        <v>18373.68</v>
      </c>
      <c r="M320" s="16" t="s">
        <v>90</v>
      </c>
      <c r="S320" s="57"/>
    </row>
    <row r="321" spans="1:19" x14ac:dyDescent="0.3">
      <c r="A321" s="26"/>
      <c r="B321" s="108" t="s">
        <v>491</v>
      </c>
      <c r="C321" s="11" t="s">
        <v>450</v>
      </c>
      <c r="D321" s="112" t="s">
        <v>514</v>
      </c>
      <c r="E321" s="13" t="s">
        <v>445</v>
      </c>
      <c r="F321" s="11"/>
      <c r="H321" s="43">
        <v>368</v>
      </c>
      <c r="J321" s="43">
        <v>0</v>
      </c>
      <c r="K321" s="43">
        <f t="shared" si="10"/>
        <v>368</v>
      </c>
      <c r="L321" s="43">
        <f t="shared" ref="L321:L357" si="11">L320+K321</f>
        <v>18741.68</v>
      </c>
      <c r="M321" s="18" t="s">
        <v>90</v>
      </c>
      <c r="N321" s="16"/>
      <c r="S321" s="57"/>
    </row>
    <row r="322" spans="1:19" x14ac:dyDescent="0.3">
      <c r="B322" s="108" t="s">
        <v>491</v>
      </c>
      <c r="C322" s="11" t="s">
        <v>451</v>
      </c>
      <c r="D322" s="112" t="s">
        <v>512</v>
      </c>
      <c r="E322" s="33" t="s">
        <v>421</v>
      </c>
      <c r="F322" s="27"/>
      <c r="G322" s="33"/>
      <c r="H322" s="42">
        <v>8.4</v>
      </c>
      <c r="J322" s="43">
        <v>0</v>
      </c>
      <c r="K322" s="43">
        <f t="shared" ref="K322:K358" si="12">H322+J322</f>
        <v>8.4</v>
      </c>
      <c r="L322" s="43">
        <f t="shared" si="11"/>
        <v>18750.080000000002</v>
      </c>
      <c r="M322" s="16" t="s">
        <v>90</v>
      </c>
      <c r="N322" s="16"/>
      <c r="S322" s="57"/>
    </row>
    <row r="323" spans="1:19" x14ac:dyDescent="0.3">
      <c r="B323" s="108" t="s">
        <v>491</v>
      </c>
      <c r="C323" s="15" t="s">
        <v>452</v>
      </c>
      <c r="D323" s="112" t="s">
        <v>512</v>
      </c>
      <c r="E323" s="33" t="s">
        <v>421</v>
      </c>
      <c r="F323" s="52"/>
      <c r="G323" s="33"/>
      <c r="H323" s="42">
        <v>59.5</v>
      </c>
      <c r="J323" s="43">
        <v>0</v>
      </c>
      <c r="K323" s="43">
        <f t="shared" si="12"/>
        <v>59.5</v>
      </c>
      <c r="L323" s="43">
        <f t="shared" si="11"/>
        <v>18809.580000000002</v>
      </c>
      <c r="M323" s="18" t="s">
        <v>90</v>
      </c>
      <c r="S323" s="57"/>
    </row>
    <row r="324" spans="1:19" x14ac:dyDescent="0.3">
      <c r="B324" s="108" t="s">
        <v>491</v>
      </c>
      <c r="C324" s="15" t="s">
        <v>453</v>
      </c>
      <c r="D324" s="112" t="s">
        <v>519</v>
      </c>
      <c r="E324" s="33" t="s">
        <v>454</v>
      </c>
      <c r="F324" s="52"/>
      <c r="G324" s="33"/>
      <c r="H324" s="42"/>
      <c r="J324" s="43">
        <v>-1200</v>
      </c>
      <c r="K324" s="43">
        <f t="shared" si="12"/>
        <v>-1200</v>
      </c>
      <c r="L324" s="43">
        <f t="shared" si="11"/>
        <v>17609.580000000002</v>
      </c>
      <c r="M324" s="16" t="s">
        <v>90</v>
      </c>
      <c r="S324" s="57"/>
    </row>
    <row r="325" spans="1:19" x14ac:dyDescent="0.3">
      <c r="A325" s="12"/>
      <c r="B325" s="108" t="s">
        <v>491</v>
      </c>
      <c r="C325" s="11" t="s">
        <v>455</v>
      </c>
      <c r="D325" s="112" t="s">
        <v>512</v>
      </c>
      <c r="E325" s="33" t="s">
        <v>421</v>
      </c>
      <c r="F325" s="27"/>
      <c r="G325" s="33"/>
      <c r="H325" s="42">
        <v>68</v>
      </c>
      <c r="J325" s="43">
        <v>0</v>
      </c>
      <c r="K325" s="43">
        <f t="shared" si="12"/>
        <v>68</v>
      </c>
      <c r="L325" s="43">
        <f t="shared" si="11"/>
        <v>17677.580000000002</v>
      </c>
      <c r="S325" s="57"/>
    </row>
    <row r="326" spans="1:19" x14ac:dyDescent="0.3">
      <c r="A326" s="12"/>
      <c r="B326" s="108" t="s">
        <v>491</v>
      </c>
      <c r="C326" s="11" t="s">
        <v>455</v>
      </c>
      <c r="D326" s="112" t="s">
        <v>500</v>
      </c>
      <c r="E326" s="47" t="s">
        <v>459</v>
      </c>
      <c r="F326" s="27"/>
      <c r="G326" s="48" t="s">
        <v>324</v>
      </c>
      <c r="H326" s="49">
        <v>50</v>
      </c>
      <c r="I326" s="43">
        <f>SUM(H325:H326)</f>
        <v>118</v>
      </c>
      <c r="J326" s="43">
        <v>0</v>
      </c>
      <c r="K326" s="43">
        <f t="shared" si="12"/>
        <v>50</v>
      </c>
      <c r="L326" s="43">
        <f t="shared" si="11"/>
        <v>17727.580000000002</v>
      </c>
      <c r="M326" s="18" t="s">
        <v>90</v>
      </c>
      <c r="S326" s="57"/>
    </row>
    <row r="327" spans="1:19" x14ac:dyDescent="0.3">
      <c r="A327" s="12"/>
      <c r="B327" s="108" t="s">
        <v>491</v>
      </c>
      <c r="C327" s="11" t="s">
        <v>97</v>
      </c>
      <c r="D327" s="112" t="s">
        <v>10</v>
      </c>
      <c r="E327" s="33" t="s">
        <v>456</v>
      </c>
      <c r="F327" s="27"/>
      <c r="G327" s="33"/>
      <c r="H327" s="42"/>
      <c r="J327" s="43">
        <v>-1377.31</v>
      </c>
      <c r="K327" s="43">
        <f t="shared" si="12"/>
        <v>-1377.31</v>
      </c>
      <c r="L327" s="43">
        <f t="shared" si="11"/>
        <v>16350.270000000002</v>
      </c>
      <c r="M327" s="18" t="s">
        <v>90</v>
      </c>
      <c r="S327" s="57"/>
    </row>
    <row r="328" spans="1:19" x14ac:dyDescent="0.3">
      <c r="B328" s="108" t="s">
        <v>491</v>
      </c>
      <c r="C328" s="11" t="s">
        <v>457</v>
      </c>
      <c r="D328" s="132" t="s">
        <v>623</v>
      </c>
      <c r="E328" s="33" t="s">
        <v>215</v>
      </c>
      <c r="F328" s="52"/>
      <c r="G328" s="33"/>
      <c r="H328" s="42"/>
      <c r="J328" s="43">
        <v>-133.29</v>
      </c>
      <c r="K328" s="43">
        <f t="shared" si="12"/>
        <v>-133.29</v>
      </c>
      <c r="L328" s="43">
        <f t="shared" si="11"/>
        <v>16216.980000000001</v>
      </c>
      <c r="M328" s="18" t="s">
        <v>90</v>
      </c>
      <c r="N328" s="16"/>
      <c r="S328" s="57"/>
    </row>
    <row r="329" spans="1:19" x14ac:dyDescent="0.3">
      <c r="A329" s="12"/>
      <c r="B329" s="108" t="s">
        <v>491</v>
      </c>
      <c r="C329" s="11" t="s">
        <v>458</v>
      </c>
      <c r="D329" s="112" t="s">
        <v>512</v>
      </c>
      <c r="E329" s="33" t="s">
        <v>421</v>
      </c>
      <c r="F329" s="27"/>
      <c r="G329" s="33"/>
      <c r="H329" s="42">
        <v>51</v>
      </c>
      <c r="J329" s="43">
        <v>0</v>
      </c>
      <c r="K329" s="43">
        <f t="shared" si="12"/>
        <v>51</v>
      </c>
      <c r="L329" s="43">
        <f t="shared" si="11"/>
        <v>16267.980000000001</v>
      </c>
      <c r="M329" s="16"/>
      <c r="S329" s="57"/>
    </row>
    <row r="330" spans="1:19" x14ac:dyDescent="0.3">
      <c r="A330" s="12"/>
      <c r="B330" s="108" t="s">
        <v>491</v>
      </c>
      <c r="C330" s="11" t="s">
        <v>458</v>
      </c>
      <c r="D330" s="112" t="s">
        <v>500</v>
      </c>
      <c r="E330" s="47" t="s">
        <v>463</v>
      </c>
      <c r="F330" s="27"/>
      <c r="G330" s="48" t="s">
        <v>324</v>
      </c>
      <c r="H330" s="49">
        <v>50</v>
      </c>
      <c r="I330" s="43">
        <f>SUM(H329:H330)</f>
        <v>101</v>
      </c>
      <c r="J330" s="43">
        <v>0</v>
      </c>
      <c r="K330" s="43">
        <f t="shared" si="12"/>
        <v>50</v>
      </c>
      <c r="L330" s="43">
        <f t="shared" si="11"/>
        <v>16317.980000000001</v>
      </c>
      <c r="M330" s="18" t="s">
        <v>90</v>
      </c>
      <c r="S330" s="57"/>
    </row>
    <row r="331" spans="1:19" x14ac:dyDescent="0.3">
      <c r="A331" s="28"/>
      <c r="B331" s="105"/>
      <c r="C331" s="11"/>
      <c r="D331" s="112"/>
      <c r="E331" s="33"/>
      <c r="F331" s="27"/>
      <c r="G331" s="33"/>
      <c r="H331" s="42"/>
      <c r="J331" s="43">
        <v>0</v>
      </c>
      <c r="K331" s="43">
        <f t="shared" si="12"/>
        <v>0</v>
      </c>
      <c r="L331" s="43">
        <f t="shared" si="11"/>
        <v>16317.980000000001</v>
      </c>
      <c r="M331" s="16">
        <f>L331-J72-J308-J296-J307</f>
        <v>16475.980000000003</v>
      </c>
      <c r="S331" s="57"/>
    </row>
    <row r="332" spans="1:19" x14ac:dyDescent="0.3">
      <c r="A332" s="28" t="s">
        <v>83</v>
      </c>
      <c r="B332" s="105"/>
      <c r="C332" s="11"/>
      <c r="D332" s="112"/>
      <c r="F332" s="11"/>
      <c r="J332" s="43">
        <v>0</v>
      </c>
      <c r="K332" s="43">
        <f t="shared" si="12"/>
        <v>0</v>
      </c>
      <c r="L332" s="43">
        <f t="shared" si="11"/>
        <v>16317.980000000001</v>
      </c>
      <c r="S332" s="57"/>
    </row>
    <row r="333" spans="1:19" x14ac:dyDescent="0.3">
      <c r="A333" s="12"/>
      <c r="B333" s="105" t="s">
        <v>492</v>
      </c>
      <c r="C333" s="238" t="s">
        <v>369</v>
      </c>
      <c r="D333" s="112" t="s">
        <v>512</v>
      </c>
      <c r="E333" s="33" t="s">
        <v>204</v>
      </c>
      <c r="F333" s="27"/>
      <c r="G333" s="33"/>
      <c r="H333" s="43">
        <v>51</v>
      </c>
      <c r="J333" s="43">
        <v>0</v>
      </c>
      <c r="K333" s="43">
        <f t="shared" si="12"/>
        <v>51</v>
      </c>
      <c r="L333" s="43">
        <f t="shared" si="11"/>
        <v>16368.980000000001</v>
      </c>
      <c r="M333" s="16" t="s">
        <v>90</v>
      </c>
      <c r="S333" s="57"/>
    </row>
    <row r="334" spans="1:19" x14ac:dyDescent="0.3">
      <c r="A334" s="12"/>
      <c r="B334" s="105" t="s">
        <v>492</v>
      </c>
      <c r="C334" s="11" t="s">
        <v>448</v>
      </c>
      <c r="D334" s="112" t="s">
        <v>504</v>
      </c>
      <c r="E334" s="47" t="s">
        <v>469</v>
      </c>
      <c r="G334" s="13">
        <v>500168</v>
      </c>
      <c r="J334" s="49">
        <v>-50</v>
      </c>
      <c r="K334" s="43">
        <f t="shared" si="12"/>
        <v>-50</v>
      </c>
      <c r="L334" s="43">
        <f t="shared" si="11"/>
        <v>16318.980000000001</v>
      </c>
      <c r="M334" s="16" t="s">
        <v>90</v>
      </c>
      <c r="S334" s="57"/>
    </row>
    <row r="335" spans="1:19" x14ac:dyDescent="0.3">
      <c r="A335" s="26"/>
      <c r="B335" s="105" t="s">
        <v>492</v>
      </c>
      <c r="C335" s="11" t="s">
        <v>325</v>
      </c>
      <c r="D335" s="112" t="s">
        <v>12</v>
      </c>
      <c r="E335" s="33" t="s">
        <v>12</v>
      </c>
      <c r="F335" s="27"/>
      <c r="G335" s="13" t="s">
        <v>49</v>
      </c>
      <c r="H335" s="42"/>
      <c r="J335" s="43">
        <v>-288.39999999999998</v>
      </c>
      <c r="K335" s="43">
        <f t="shared" si="12"/>
        <v>-288.39999999999998</v>
      </c>
      <c r="L335" s="43">
        <f t="shared" si="11"/>
        <v>16030.580000000002</v>
      </c>
      <c r="M335" s="18" t="s">
        <v>90</v>
      </c>
      <c r="N335" s="18"/>
      <c r="S335" s="57"/>
    </row>
    <row r="336" spans="1:19" x14ac:dyDescent="0.3">
      <c r="A336" s="12"/>
      <c r="B336" s="105" t="s">
        <v>492</v>
      </c>
      <c r="C336" s="11" t="s">
        <v>299</v>
      </c>
      <c r="D336" s="112" t="s">
        <v>301</v>
      </c>
      <c r="E336" s="33" t="s">
        <v>301</v>
      </c>
      <c r="F336" s="27"/>
      <c r="G336" s="13" t="s">
        <v>49</v>
      </c>
      <c r="H336" s="42"/>
      <c r="J336" s="43">
        <v>-34.68</v>
      </c>
      <c r="K336" s="43">
        <f t="shared" si="12"/>
        <v>-34.68</v>
      </c>
      <c r="L336" s="43">
        <f t="shared" si="11"/>
        <v>15995.900000000001</v>
      </c>
      <c r="M336" s="16" t="s">
        <v>90</v>
      </c>
      <c r="N336" s="18"/>
      <c r="S336" s="57"/>
    </row>
    <row r="337" spans="1:19" x14ac:dyDescent="0.3">
      <c r="A337" s="12"/>
      <c r="B337" s="105" t="s">
        <v>492</v>
      </c>
      <c r="C337" s="11" t="s">
        <v>48</v>
      </c>
      <c r="D337" s="112" t="s">
        <v>12</v>
      </c>
      <c r="E337" s="33" t="s">
        <v>59</v>
      </c>
      <c r="F337" s="27"/>
      <c r="G337" s="13" t="s">
        <v>49</v>
      </c>
      <c r="H337" s="42"/>
      <c r="J337" s="43">
        <v>-85.61</v>
      </c>
      <c r="K337" s="43">
        <f t="shared" si="12"/>
        <v>-85.61</v>
      </c>
      <c r="L337" s="43">
        <f t="shared" si="11"/>
        <v>15910.29</v>
      </c>
      <c r="M337" s="18" t="s">
        <v>90</v>
      </c>
      <c r="S337" s="57"/>
    </row>
    <row r="338" spans="1:19" x14ac:dyDescent="0.3">
      <c r="B338" s="105" t="s">
        <v>492</v>
      </c>
      <c r="C338" s="11" t="s">
        <v>53</v>
      </c>
      <c r="D338" s="112" t="s">
        <v>11</v>
      </c>
      <c r="E338" s="13" t="s">
        <v>11</v>
      </c>
      <c r="F338" s="27"/>
      <c r="G338" s="33" t="s">
        <v>49</v>
      </c>
      <c r="H338" s="42"/>
      <c r="J338" s="43">
        <v>-82.88</v>
      </c>
      <c r="K338" s="43">
        <f t="shared" si="12"/>
        <v>-82.88</v>
      </c>
      <c r="L338" s="43">
        <f t="shared" si="11"/>
        <v>15827.410000000002</v>
      </c>
      <c r="M338" s="16" t="s">
        <v>90</v>
      </c>
      <c r="S338" s="57"/>
    </row>
    <row r="339" spans="1:19" x14ac:dyDescent="0.3">
      <c r="A339" s="12"/>
      <c r="B339" s="105" t="s">
        <v>492</v>
      </c>
      <c r="C339" s="11" t="s">
        <v>427</v>
      </c>
      <c r="D339" s="112" t="s">
        <v>512</v>
      </c>
      <c r="E339" s="33" t="s">
        <v>421</v>
      </c>
      <c r="F339" s="27"/>
      <c r="G339" s="33" t="s">
        <v>464</v>
      </c>
      <c r="H339" s="42">
        <v>8</v>
      </c>
      <c r="J339" s="43">
        <v>0</v>
      </c>
      <c r="K339" s="43">
        <f t="shared" si="12"/>
        <v>8</v>
      </c>
      <c r="L339" s="43">
        <f t="shared" si="11"/>
        <v>15835.410000000002</v>
      </c>
      <c r="M339" s="16" t="s">
        <v>90</v>
      </c>
      <c r="S339" s="57"/>
    </row>
    <row r="340" spans="1:19" x14ac:dyDescent="0.3">
      <c r="A340" s="12"/>
      <c r="B340" s="105" t="s">
        <v>492</v>
      </c>
      <c r="C340" s="11" t="s">
        <v>466</v>
      </c>
      <c r="D340" s="112" t="s">
        <v>468</v>
      </c>
      <c r="E340" s="33" t="s">
        <v>467</v>
      </c>
      <c r="F340" s="27"/>
      <c r="G340" s="33">
        <v>500124</v>
      </c>
      <c r="H340" s="42"/>
      <c r="J340" s="43">
        <v>-55</v>
      </c>
      <c r="K340" s="43">
        <f t="shared" si="12"/>
        <v>-55</v>
      </c>
      <c r="L340" s="43">
        <f t="shared" si="11"/>
        <v>15780.410000000002</v>
      </c>
      <c r="M340" s="18" t="s">
        <v>90</v>
      </c>
      <c r="S340" s="57"/>
    </row>
    <row r="341" spans="1:19" x14ac:dyDescent="0.3">
      <c r="A341" s="29"/>
      <c r="B341" s="105" t="s">
        <v>492</v>
      </c>
      <c r="C341" s="11" t="s">
        <v>481</v>
      </c>
      <c r="D341" s="132" t="s">
        <v>623</v>
      </c>
      <c r="E341" s="13" t="s">
        <v>117</v>
      </c>
      <c r="F341" s="11"/>
      <c r="G341" s="13">
        <v>500125</v>
      </c>
      <c r="J341" s="43">
        <v>-20</v>
      </c>
      <c r="K341" s="43">
        <f t="shared" si="12"/>
        <v>-20</v>
      </c>
      <c r="L341" s="43">
        <f t="shared" si="11"/>
        <v>15760.410000000002</v>
      </c>
      <c r="S341" s="57"/>
    </row>
    <row r="342" spans="1:19" x14ac:dyDescent="0.3">
      <c r="B342" s="105" t="s">
        <v>492</v>
      </c>
      <c r="C342" s="11" t="s">
        <v>465</v>
      </c>
      <c r="D342" s="132" t="s">
        <v>623</v>
      </c>
      <c r="E342" s="13" t="s">
        <v>260</v>
      </c>
      <c r="G342" s="13">
        <v>500126</v>
      </c>
      <c r="J342" s="43">
        <v>-3.99</v>
      </c>
      <c r="K342" s="43">
        <f t="shared" si="12"/>
        <v>-3.99</v>
      </c>
      <c r="L342" s="43">
        <f t="shared" si="11"/>
        <v>15756.420000000002</v>
      </c>
      <c r="S342" s="57"/>
    </row>
    <row r="343" spans="1:19" ht="12.5" x14ac:dyDescent="0.25">
      <c r="A343" s="12"/>
      <c r="B343" s="105" t="s">
        <v>492</v>
      </c>
      <c r="C343" s="11" t="s">
        <v>145</v>
      </c>
      <c r="D343" s="112" t="s">
        <v>500</v>
      </c>
      <c r="E343" s="47" t="s">
        <v>470</v>
      </c>
      <c r="F343" s="11"/>
      <c r="G343" s="13">
        <v>500594</v>
      </c>
      <c r="H343" s="43">
        <v>50</v>
      </c>
      <c r="K343" s="43">
        <f t="shared" si="12"/>
        <v>50</v>
      </c>
      <c r="L343" s="43">
        <f t="shared" si="11"/>
        <v>15806.420000000002</v>
      </c>
      <c r="M343" s="11" t="s">
        <v>471</v>
      </c>
      <c r="N343" s="62"/>
      <c r="O343" s="11"/>
      <c r="P343" s="13"/>
      <c r="S343" s="57"/>
    </row>
    <row r="344" spans="1:19" x14ac:dyDescent="0.3">
      <c r="A344" s="12"/>
      <c r="B344" s="105" t="s">
        <v>492</v>
      </c>
      <c r="C344" s="11" t="s">
        <v>268</v>
      </c>
      <c r="D344" s="112" t="s">
        <v>512</v>
      </c>
      <c r="E344" s="13" t="s">
        <v>421</v>
      </c>
      <c r="F344" s="11"/>
      <c r="H344" s="43">
        <v>48</v>
      </c>
      <c r="J344" s="43">
        <v>0</v>
      </c>
      <c r="K344" s="43">
        <f t="shared" si="12"/>
        <v>48</v>
      </c>
      <c r="L344" s="43">
        <f t="shared" si="11"/>
        <v>15854.420000000002</v>
      </c>
      <c r="M344" s="18" t="s">
        <v>534</v>
      </c>
      <c r="S344" s="57"/>
    </row>
    <row r="345" spans="1:19" x14ac:dyDescent="0.3">
      <c r="A345" s="12"/>
      <c r="B345" s="105" t="s">
        <v>492</v>
      </c>
      <c r="C345" s="11" t="s">
        <v>473</v>
      </c>
      <c r="D345" s="112" t="s">
        <v>512</v>
      </c>
      <c r="E345" s="13" t="s">
        <v>421</v>
      </c>
      <c r="H345" s="43">
        <v>185</v>
      </c>
      <c r="J345" s="43">
        <v>0</v>
      </c>
      <c r="K345" s="43">
        <f t="shared" si="12"/>
        <v>185</v>
      </c>
      <c r="L345" s="43">
        <f t="shared" si="11"/>
        <v>16039.420000000002</v>
      </c>
      <c r="M345" s="18" t="s">
        <v>534</v>
      </c>
      <c r="S345" s="57"/>
    </row>
    <row r="346" spans="1:19" x14ac:dyDescent="0.3">
      <c r="A346" s="12"/>
      <c r="B346" s="105" t="s">
        <v>492</v>
      </c>
      <c r="C346" s="11" t="s">
        <v>473</v>
      </c>
      <c r="D346" s="112" t="s">
        <v>500</v>
      </c>
      <c r="E346" s="47" t="s">
        <v>472</v>
      </c>
      <c r="F346" s="11"/>
      <c r="G346" s="48" t="s">
        <v>324</v>
      </c>
      <c r="H346" s="49">
        <v>100</v>
      </c>
      <c r="I346" s="43">
        <f>SUM(H345:H346)</f>
        <v>285</v>
      </c>
      <c r="J346" s="43">
        <v>0</v>
      </c>
      <c r="K346" s="43">
        <f t="shared" si="12"/>
        <v>100</v>
      </c>
      <c r="L346" s="43">
        <f t="shared" si="11"/>
        <v>16139.420000000002</v>
      </c>
      <c r="M346" s="18" t="s">
        <v>534</v>
      </c>
      <c r="O346" s="16">
        <f>SUM(O6:O345)</f>
        <v>2766.2</v>
      </c>
      <c r="S346" s="57"/>
    </row>
    <row r="347" spans="1:19" x14ac:dyDescent="0.3">
      <c r="A347" s="12"/>
      <c r="B347" s="105" t="s">
        <v>492</v>
      </c>
      <c r="C347" s="11" t="s">
        <v>474</v>
      </c>
      <c r="D347" s="112" t="s">
        <v>512</v>
      </c>
      <c r="E347" s="13" t="s">
        <v>421</v>
      </c>
      <c r="F347" s="11"/>
      <c r="H347" s="43">
        <v>34</v>
      </c>
      <c r="J347" s="43">
        <v>0</v>
      </c>
      <c r="K347" s="43">
        <f t="shared" si="12"/>
        <v>34</v>
      </c>
      <c r="L347" s="43">
        <f t="shared" si="11"/>
        <v>16173.420000000002</v>
      </c>
      <c r="M347" s="18" t="s">
        <v>412</v>
      </c>
      <c r="S347" s="57"/>
    </row>
    <row r="348" spans="1:19" x14ac:dyDescent="0.3">
      <c r="A348" s="12"/>
      <c r="B348" s="105" t="s">
        <v>492</v>
      </c>
      <c r="C348" s="11" t="s">
        <v>474</v>
      </c>
      <c r="D348" s="112" t="s">
        <v>500</v>
      </c>
      <c r="E348" s="47" t="s">
        <v>476</v>
      </c>
      <c r="F348" s="11"/>
      <c r="G348" s="33"/>
      <c r="H348" s="49">
        <v>50</v>
      </c>
      <c r="I348" s="43">
        <f>SUM(H347:H348)</f>
        <v>84</v>
      </c>
      <c r="J348" s="43">
        <v>0</v>
      </c>
      <c r="K348" s="43">
        <f t="shared" si="12"/>
        <v>50</v>
      </c>
      <c r="L348" s="43">
        <f t="shared" si="11"/>
        <v>16223.420000000002</v>
      </c>
      <c r="M348" s="18" t="s">
        <v>412</v>
      </c>
      <c r="S348" s="57"/>
    </row>
    <row r="349" spans="1:19" x14ac:dyDescent="0.3">
      <c r="A349" s="12"/>
      <c r="B349" s="105" t="s">
        <v>492</v>
      </c>
      <c r="C349" s="11" t="s">
        <v>475</v>
      </c>
      <c r="D349" s="112" t="s">
        <v>512</v>
      </c>
      <c r="E349" s="13" t="s">
        <v>421</v>
      </c>
      <c r="F349" s="11"/>
      <c r="H349" s="43">
        <v>23</v>
      </c>
      <c r="J349" s="43">
        <v>0</v>
      </c>
      <c r="K349" s="43">
        <f t="shared" si="12"/>
        <v>23</v>
      </c>
      <c r="L349" s="43">
        <f t="shared" si="11"/>
        <v>16246.420000000002</v>
      </c>
      <c r="M349" s="18" t="s">
        <v>90</v>
      </c>
      <c r="S349" s="57"/>
    </row>
    <row r="350" spans="1:19" x14ac:dyDescent="0.3">
      <c r="A350" s="12"/>
      <c r="B350" s="105" t="s">
        <v>492</v>
      </c>
      <c r="C350" s="11" t="s">
        <v>58</v>
      </c>
      <c r="D350" s="112" t="s">
        <v>9</v>
      </c>
      <c r="E350" s="13" t="s">
        <v>477</v>
      </c>
      <c r="F350" s="11"/>
      <c r="J350" s="43">
        <v>-139.6</v>
      </c>
      <c r="K350" s="43">
        <f t="shared" si="12"/>
        <v>-139.6</v>
      </c>
      <c r="L350" s="43">
        <f t="shared" si="11"/>
        <v>16106.820000000002</v>
      </c>
      <c r="M350" s="18" t="s">
        <v>90</v>
      </c>
      <c r="S350" s="57"/>
    </row>
    <row r="351" spans="1:19" x14ac:dyDescent="0.3">
      <c r="A351" s="26"/>
      <c r="B351" s="105" t="s">
        <v>492</v>
      </c>
      <c r="C351" s="11" t="s">
        <v>480</v>
      </c>
      <c r="D351" s="112" t="s">
        <v>504</v>
      </c>
      <c r="E351" s="47" t="s">
        <v>478</v>
      </c>
      <c r="F351" s="11"/>
      <c r="G351" s="13">
        <v>500169</v>
      </c>
      <c r="J351" s="49">
        <v>-50</v>
      </c>
      <c r="K351" s="43">
        <f t="shared" si="12"/>
        <v>-50</v>
      </c>
      <c r="L351" s="43">
        <f t="shared" si="11"/>
        <v>16056.820000000002</v>
      </c>
      <c r="S351" s="57"/>
    </row>
    <row r="352" spans="1:19" x14ac:dyDescent="0.3">
      <c r="A352" s="26"/>
      <c r="B352" s="105" t="s">
        <v>492</v>
      </c>
      <c r="C352" s="4" t="s">
        <v>234</v>
      </c>
      <c r="D352" s="112" t="s">
        <v>12</v>
      </c>
      <c r="E352" s="120" t="s">
        <v>313</v>
      </c>
      <c r="F352" s="11"/>
      <c r="G352" s="1" t="s">
        <v>523</v>
      </c>
      <c r="J352" s="42">
        <v>-65.55</v>
      </c>
      <c r="K352" s="43">
        <f t="shared" si="12"/>
        <v>-65.55</v>
      </c>
      <c r="L352" s="43">
        <f t="shared" si="11"/>
        <v>15991.270000000002</v>
      </c>
      <c r="M352" s="18" t="s">
        <v>534</v>
      </c>
    </row>
    <row r="353" spans="1:13" x14ac:dyDescent="0.3">
      <c r="A353" s="26"/>
      <c r="B353" s="105" t="s">
        <v>492</v>
      </c>
      <c r="C353" s="4" t="s">
        <v>234</v>
      </c>
      <c r="D353" s="112" t="s">
        <v>514</v>
      </c>
      <c r="E353" s="120" t="s">
        <v>524</v>
      </c>
      <c r="F353" s="11"/>
      <c r="G353" s="1" t="s">
        <v>523</v>
      </c>
      <c r="J353" s="42">
        <v>-32.590000000000003</v>
      </c>
      <c r="K353" s="43">
        <f t="shared" si="12"/>
        <v>-32.590000000000003</v>
      </c>
      <c r="L353" s="43">
        <f t="shared" si="11"/>
        <v>15958.680000000002</v>
      </c>
      <c r="M353" s="18" t="s">
        <v>534</v>
      </c>
    </row>
    <row r="354" spans="1:13" x14ac:dyDescent="0.3">
      <c r="A354" s="26"/>
      <c r="B354" s="105" t="s">
        <v>492</v>
      </c>
      <c r="C354" s="4" t="s">
        <v>234</v>
      </c>
      <c r="D354" s="112" t="s">
        <v>12</v>
      </c>
      <c r="E354" s="120" t="s">
        <v>313</v>
      </c>
      <c r="F354" s="11"/>
      <c r="G354" s="1" t="s">
        <v>523</v>
      </c>
      <c r="J354" s="42">
        <v>-35.159999999999997</v>
      </c>
      <c r="K354" s="43">
        <f t="shared" si="12"/>
        <v>-35.159999999999997</v>
      </c>
      <c r="L354" s="43">
        <f t="shared" si="11"/>
        <v>15923.520000000002</v>
      </c>
      <c r="M354" s="18" t="s">
        <v>534</v>
      </c>
    </row>
    <row r="355" spans="1:13" x14ac:dyDescent="0.3">
      <c r="A355" s="26"/>
      <c r="B355" s="105" t="s">
        <v>492</v>
      </c>
      <c r="C355" s="11" t="s">
        <v>474</v>
      </c>
      <c r="D355" s="112" t="s">
        <v>504</v>
      </c>
      <c r="E355" s="121" t="s">
        <v>527</v>
      </c>
      <c r="F355" s="11"/>
      <c r="G355" s="13">
        <v>500170</v>
      </c>
      <c r="J355" s="49">
        <v>-50</v>
      </c>
      <c r="K355" s="43">
        <f t="shared" si="12"/>
        <v>-50</v>
      </c>
      <c r="L355" s="43">
        <f t="shared" si="11"/>
        <v>15873.520000000002</v>
      </c>
      <c r="M355" s="122">
        <f>L355-J308-J341-J342-J351-J355+263.2+641</f>
        <v>16951.710000000003</v>
      </c>
    </row>
    <row r="356" spans="1:13" x14ac:dyDescent="0.3">
      <c r="A356" s="26"/>
      <c r="B356" s="108"/>
      <c r="C356" s="11"/>
      <c r="D356" s="112"/>
      <c r="E356" s="33"/>
      <c r="F356" s="11"/>
      <c r="J356" s="42"/>
      <c r="K356" s="43">
        <f t="shared" si="12"/>
        <v>0</v>
      </c>
      <c r="L356" s="43">
        <f t="shared" si="11"/>
        <v>15873.520000000002</v>
      </c>
    </row>
    <row r="357" spans="1:13" x14ac:dyDescent="0.3">
      <c r="A357" s="12"/>
      <c r="B357" s="105"/>
      <c r="C357" s="11"/>
      <c r="D357" s="112"/>
      <c r="F357" s="11"/>
      <c r="K357" s="43">
        <f t="shared" si="12"/>
        <v>0</v>
      </c>
      <c r="L357" s="43">
        <f t="shared" si="11"/>
        <v>15873.520000000002</v>
      </c>
    </row>
    <row r="358" spans="1:13" ht="13.5" thickBot="1" x14ac:dyDescent="0.35">
      <c r="A358" s="12"/>
      <c r="B358" s="105"/>
      <c r="C358" s="11"/>
      <c r="D358" s="112"/>
      <c r="F358" s="11"/>
      <c r="G358" s="13">
        <f>+L6</f>
        <v>0</v>
      </c>
      <c r="H358" s="63">
        <f>SUM(H8:H357)</f>
        <v>48984.58</v>
      </c>
      <c r="I358" s="63">
        <f>SUM(I1:I357)</f>
        <v>12019.96</v>
      </c>
      <c r="J358" s="63">
        <f>SUM(J8:J357)</f>
        <v>-47890.46</v>
      </c>
      <c r="K358" s="43">
        <f t="shared" si="12"/>
        <v>1094.1200000000026</v>
      </c>
    </row>
    <row r="359" spans="1:13" ht="13.5" thickTop="1" x14ac:dyDescent="0.3">
      <c r="C359" s="11"/>
      <c r="D359" s="112"/>
    </row>
    <row r="360" spans="1:13" x14ac:dyDescent="0.3">
      <c r="A360" s="24" t="s">
        <v>76</v>
      </c>
      <c r="B360" s="110"/>
      <c r="C360" s="11"/>
      <c r="D360" s="112"/>
      <c r="F360" s="11"/>
    </row>
    <row r="361" spans="1:13" x14ac:dyDescent="0.3">
      <c r="A361" s="12"/>
      <c r="B361" s="105"/>
      <c r="C361" s="4" t="s">
        <v>543</v>
      </c>
      <c r="D361" s="112"/>
      <c r="F361" s="11"/>
      <c r="L361" s="43">
        <v>16951.71</v>
      </c>
    </row>
    <row r="362" spans="1:13" x14ac:dyDescent="0.3">
      <c r="A362" s="12"/>
      <c r="B362" s="105"/>
      <c r="C362" s="11"/>
      <c r="D362" s="112"/>
      <c r="F362" s="11"/>
    </row>
    <row r="363" spans="1:13" x14ac:dyDescent="0.3">
      <c r="A363" s="12"/>
      <c r="B363" s="105"/>
      <c r="C363" s="11"/>
      <c r="D363" s="112"/>
      <c r="F363" s="11"/>
    </row>
    <row r="364" spans="1:13" x14ac:dyDescent="0.3">
      <c r="A364" s="12"/>
      <c r="B364" s="105"/>
      <c r="C364" s="4" t="s">
        <v>539</v>
      </c>
      <c r="D364" s="112"/>
      <c r="F364" s="11"/>
      <c r="H364" s="123" t="s">
        <v>538</v>
      </c>
      <c r="J364" s="43">
        <v>-50</v>
      </c>
    </row>
    <row r="365" spans="1:13" x14ac:dyDescent="0.3">
      <c r="A365" s="12"/>
      <c r="B365" s="105"/>
      <c r="F365" s="11"/>
      <c r="H365" s="123" t="s">
        <v>535</v>
      </c>
      <c r="J365" s="43">
        <v>-20</v>
      </c>
    </row>
    <row r="366" spans="1:13" x14ac:dyDescent="0.3">
      <c r="A366" s="12"/>
      <c r="B366" s="105"/>
      <c r="C366" s="11"/>
      <c r="D366" s="112"/>
      <c r="F366" s="11"/>
      <c r="H366" s="123" t="s">
        <v>536</v>
      </c>
      <c r="J366" s="43">
        <v>-3.99</v>
      </c>
      <c r="M366" s="64"/>
    </row>
    <row r="367" spans="1:13" x14ac:dyDescent="0.3">
      <c r="A367" s="12"/>
      <c r="B367" s="105"/>
      <c r="C367" s="11"/>
      <c r="D367" s="112"/>
      <c r="F367" s="11"/>
      <c r="H367" s="123" t="s">
        <v>537</v>
      </c>
      <c r="J367" s="43">
        <v>-50</v>
      </c>
    </row>
    <row r="368" spans="1:13" x14ac:dyDescent="0.3">
      <c r="A368" s="12"/>
      <c r="B368" s="105"/>
      <c r="C368" s="11"/>
      <c r="D368" s="112"/>
      <c r="F368" s="11"/>
      <c r="H368" s="123" t="s">
        <v>544</v>
      </c>
      <c r="J368" s="43">
        <v>-50</v>
      </c>
      <c r="L368" s="43">
        <f>SUM(J364:J368)</f>
        <v>-173.99</v>
      </c>
    </row>
    <row r="369" spans="1:12" x14ac:dyDescent="0.3">
      <c r="A369" s="12"/>
      <c r="B369" s="105"/>
      <c r="C369" s="11"/>
      <c r="D369" s="112"/>
      <c r="F369" s="11"/>
    </row>
    <row r="370" spans="1:12" x14ac:dyDescent="0.3">
      <c r="A370" s="12"/>
      <c r="B370" s="105"/>
      <c r="C370" s="4" t="s">
        <v>545</v>
      </c>
      <c r="D370" s="112"/>
      <c r="F370" s="11"/>
    </row>
    <row r="371" spans="1:12" x14ac:dyDescent="0.3">
      <c r="A371" s="12"/>
      <c r="B371" s="105"/>
      <c r="C371" s="4" t="s">
        <v>540</v>
      </c>
      <c r="D371" s="112"/>
      <c r="F371" s="11"/>
      <c r="L371" s="43">
        <v>-263.2</v>
      </c>
    </row>
    <row r="372" spans="1:12" x14ac:dyDescent="0.3">
      <c r="A372" s="12"/>
      <c r="B372" s="105"/>
      <c r="C372" s="4" t="s">
        <v>541</v>
      </c>
      <c r="D372" s="112"/>
      <c r="F372" s="11"/>
      <c r="L372" s="43">
        <v>-641</v>
      </c>
    </row>
    <row r="373" spans="1:12" x14ac:dyDescent="0.3">
      <c r="A373" s="12"/>
      <c r="B373" s="105"/>
      <c r="C373" s="11"/>
      <c r="D373" s="112"/>
      <c r="F373" s="11"/>
    </row>
    <row r="374" spans="1:12" ht="13.5" thickBot="1" x14ac:dyDescent="0.35">
      <c r="A374" s="12"/>
      <c r="B374" s="105"/>
      <c r="C374" s="11"/>
      <c r="D374" s="112"/>
      <c r="F374" s="11"/>
    </row>
    <row r="375" spans="1:12" ht="17.25" customHeight="1" thickBot="1" x14ac:dyDescent="0.35">
      <c r="A375" s="12"/>
      <c r="B375" s="105"/>
      <c r="C375" s="4" t="s">
        <v>542</v>
      </c>
      <c r="D375" s="112"/>
      <c r="F375" s="11"/>
      <c r="L375" s="65">
        <f>SUM(L361:L374)</f>
        <v>15873.519999999997</v>
      </c>
    </row>
    <row r="376" spans="1:12" ht="13.5" thickTop="1" x14ac:dyDescent="0.3">
      <c r="A376" s="12"/>
      <c r="B376" s="105"/>
      <c r="C376" s="11"/>
      <c r="D376" s="112"/>
      <c r="F376" s="11"/>
    </row>
    <row r="377" spans="1:12" x14ac:dyDescent="0.3">
      <c r="A377" s="12"/>
      <c r="B377" s="105"/>
      <c r="C377" s="11"/>
      <c r="D377" s="112"/>
      <c r="F377" s="11"/>
    </row>
    <row r="378" spans="1:12" x14ac:dyDescent="0.3">
      <c r="A378" s="12"/>
      <c r="B378" s="105"/>
      <c r="C378" s="11"/>
      <c r="D378" s="112"/>
      <c r="F378" s="11"/>
    </row>
  </sheetData>
  <phoneticPr fontId="9" type="noConversion"/>
  <pageMargins left="0.31496062992125984" right="0.31496062992125984" top="0.74803149606299213" bottom="0.74803149606299213" header="0.31496062992125984" footer="0.31496062992125984"/>
  <pageSetup paperSize="9" scale="8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2184-AC04-4442-9979-2D500D0BA044}">
  <sheetPr>
    <pageSetUpPr fitToPage="1"/>
  </sheetPr>
  <dimension ref="A1:Z399"/>
  <sheetViews>
    <sheetView showGridLines="0" workbookViewId="0">
      <pane ySplit="1" topLeftCell="A191" activePane="bottomLeft" state="frozen"/>
      <selection activeCell="M382" sqref="M382:Q383"/>
      <selection pane="bottomLeft" activeCell="I211" sqref="I210:I211"/>
    </sheetView>
  </sheetViews>
  <sheetFormatPr defaultColWidth="8.7265625" defaultRowHeight="13" outlineLevelCol="1" x14ac:dyDescent="0.3"/>
  <cols>
    <col min="1" max="1" width="14.1796875" style="39" customWidth="1"/>
    <col min="2" max="2" width="8.1796875" style="360" customWidth="1"/>
    <col min="3" max="3" width="8.1796875" style="106" customWidth="1"/>
    <col min="4" max="4" width="20.6328125" style="15" customWidth="1"/>
    <col min="5" max="5" width="19.453125" style="114" customWidth="1"/>
    <col min="6" max="6" width="48.08984375" style="13" customWidth="1" outlineLevel="1"/>
    <col min="7" max="7" width="2.1796875" style="15" customWidth="1"/>
    <col min="8" max="8" width="10.36328125" style="13" customWidth="1"/>
    <col min="9" max="9" width="11.1796875" style="43" bestFit="1" customWidth="1"/>
    <col min="10" max="10" width="16.1796875" style="43" hidden="1" customWidth="1" outlineLevel="1"/>
    <col min="11" max="11" width="10.54296875" style="43" bestFit="1" customWidth="1" collapsed="1"/>
    <col min="12" max="12" width="11.36328125" style="43" customWidth="1"/>
    <col min="13" max="13" width="11.36328125" style="43" bestFit="1" customWidth="1"/>
    <col min="14" max="14" width="9.81640625" style="18" customWidth="1"/>
    <col min="15" max="15" width="9.81640625" style="15" bestFit="1" customWidth="1"/>
    <col min="16" max="16" width="8.7265625" style="16" customWidth="1"/>
    <col min="17" max="17" width="8.7265625" style="15"/>
    <col min="18" max="18" width="8.453125" style="11" customWidth="1"/>
    <col min="19" max="20" width="10.08984375" style="15" bestFit="1" customWidth="1"/>
    <col min="21" max="21" width="9.54296875" style="15" bestFit="1" customWidth="1"/>
    <col min="22" max="22" width="9.81640625" style="15" bestFit="1" customWidth="1"/>
    <col min="23" max="23" width="9.453125" style="15" bestFit="1" customWidth="1"/>
    <col min="24" max="25" width="8.7265625" style="15"/>
    <col min="26" max="26" width="9.81640625" style="15" bestFit="1" customWidth="1"/>
    <col min="27" max="16384" width="8.7265625" style="15"/>
  </cols>
  <sheetData>
    <row r="1" spans="1:16" x14ac:dyDescent="0.3">
      <c r="A1" s="12"/>
      <c r="C1" s="29"/>
      <c r="D1" s="5" t="s">
        <v>41</v>
      </c>
      <c r="E1" s="124"/>
      <c r="F1" s="2"/>
      <c r="H1" s="2" t="s">
        <v>42</v>
      </c>
      <c r="I1" s="41" t="s">
        <v>43</v>
      </c>
      <c r="J1" s="41" t="s">
        <v>494</v>
      </c>
      <c r="K1" s="41" t="s">
        <v>44</v>
      </c>
      <c r="L1" s="41" t="s">
        <v>493</v>
      </c>
      <c r="M1" s="41" t="s">
        <v>45</v>
      </c>
      <c r="N1" s="44" t="s">
        <v>46</v>
      </c>
    </row>
    <row r="2" spans="1:16" x14ac:dyDescent="0.3">
      <c r="C2" s="59"/>
      <c r="D2" s="24"/>
      <c r="E2" s="255"/>
      <c r="F2" s="11"/>
      <c r="G2" s="27"/>
      <c r="H2" s="33"/>
      <c r="I2" s="27"/>
      <c r="J2" s="33"/>
      <c r="K2" s="42"/>
      <c r="L2" s="42"/>
      <c r="M2" s="42"/>
      <c r="N2" s="43"/>
      <c r="O2" s="43"/>
      <c r="P2" s="18"/>
    </row>
    <row r="3" spans="1:16" x14ac:dyDescent="0.3">
      <c r="C3" s="59"/>
      <c r="D3" s="24" t="s">
        <v>1785</v>
      </c>
      <c r="E3" s="178"/>
      <c r="F3" s="4"/>
      <c r="G3" s="179"/>
      <c r="H3" s="193"/>
      <c r="I3" s="179"/>
      <c r="J3" s="193"/>
      <c r="K3" s="200"/>
      <c r="L3" s="200"/>
      <c r="M3" s="200"/>
      <c r="N3" s="125"/>
      <c r="O3" s="125"/>
      <c r="P3" s="18"/>
    </row>
    <row r="4" spans="1:16" x14ac:dyDescent="0.3">
      <c r="C4" s="59"/>
      <c r="D4" s="24"/>
      <c r="E4" s="178"/>
      <c r="F4" s="4"/>
      <c r="G4" s="179"/>
      <c r="H4" s="193"/>
      <c r="I4" s="179"/>
      <c r="J4" s="193"/>
      <c r="K4" s="200"/>
      <c r="L4" s="200"/>
      <c r="M4" s="200"/>
      <c r="N4" s="125"/>
      <c r="O4" s="125"/>
      <c r="P4" s="18"/>
    </row>
    <row r="5" spans="1:16" x14ac:dyDescent="0.3">
      <c r="C5" s="59"/>
      <c r="D5" s="3"/>
      <c r="E5" s="180"/>
      <c r="F5" s="4" t="s">
        <v>110</v>
      </c>
      <c r="G5" s="179"/>
      <c r="H5" s="193"/>
      <c r="I5" s="179"/>
      <c r="J5" s="193"/>
      <c r="K5" s="200"/>
      <c r="L5" s="200"/>
      <c r="M5" s="200"/>
      <c r="N5" s="125"/>
      <c r="O5" s="125">
        <v>6666.2</v>
      </c>
      <c r="P5" s="18"/>
    </row>
    <row r="6" spans="1:16" x14ac:dyDescent="0.3">
      <c r="C6" s="59"/>
      <c r="D6" s="3"/>
      <c r="E6" s="180"/>
      <c r="F6" s="4"/>
      <c r="G6" s="179"/>
      <c r="H6" s="1"/>
      <c r="I6" s="4"/>
      <c r="J6" s="1"/>
      <c r="K6" s="125"/>
      <c r="L6" s="125"/>
      <c r="M6" s="125"/>
      <c r="N6" s="125" t="s">
        <v>1786</v>
      </c>
      <c r="O6" s="125"/>
      <c r="P6" s="18"/>
    </row>
    <row r="7" spans="1:16" x14ac:dyDescent="0.3">
      <c r="C7" s="59"/>
      <c r="D7" s="3"/>
      <c r="E7" s="180"/>
      <c r="F7" s="4" t="s">
        <v>1284</v>
      </c>
      <c r="G7" s="179"/>
      <c r="H7" s="1"/>
      <c r="I7" s="4"/>
      <c r="J7" s="1"/>
      <c r="K7" s="125"/>
      <c r="L7" s="125"/>
      <c r="M7" s="125"/>
      <c r="N7" s="125"/>
      <c r="O7" s="125"/>
      <c r="P7" s="18"/>
    </row>
    <row r="8" spans="1:16" x14ac:dyDescent="0.3">
      <c r="C8" s="59"/>
      <c r="D8" s="3"/>
      <c r="E8" s="180"/>
      <c r="F8" s="15" t="s">
        <v>2080</v>
      </c>
      <c r="G8"/>
      <c r="H8"/>
      <c r="I8" s="396"/>
      <c r="J8" s="1"/>
      <c r="K8" s="125"/>
      <c r="L8" s="125"/>
      <c r="M8" s="125"/>
      <c r="N8" s="396">
        <v>-369.7</v>
      </c>
      <c r="O8" s="125"/>
      <c r="P8" s="18"/>
    </row>
    <row r="9" spans="1:16" x14ac:dyDescent="0.3">
      <c r="C9" s="59"/>
      <c r="D9" s="3"/>
      <c r="E9" s="180"/>
      <c r="F9" s="15" t="s">
        <v>2089</v>
      </c>
      <c r="G9"/>
      <c r="H9"/>
      <c r="I9" s="396"/>
      <c r="J9" s="1"/>
      <c r="K9" s="125"/>
      <c r="L9" s="125"/>
      <c r="M9" s="125"/>
      <c r="N9" s="396">
        <v>-50</v>
      </c>
      <c r="O9" s="125"/>
      <c r="P9" s="18"/>
    </row>
    <row r="10" spans="1:16" x14ac:dyDescent="0.3">
      <c r="C10" s="59"/>
      <c r="D10" s="3"/>
      <c r="E10" s="180"/>
      <c r="F10" s="15" t="s">
        <v>2102</v>
      </c>
      <c r="G10"/>
      <c r="H10"/>
      <c r="I10" s="396"/>
      <c r="J10" s="1"/>
      <c r="K10"/>
      <c r="L10" s="125"/>
      <c r="M10" s="125"/>
      <c r="N10" s="396">
        <v>-50</v>
      </c>
      <c r="O10" s="125"/>
      <c r="P10" s="18"/>
    </row>
    <row r="11" spans="1:16" x14ac:dyDescent="0.3">
      <c r="C11" s="59"/>
      <c r="D11" s="3"/>
      <c r="E11" s="180"/>
      <c r="F11" s="4" t="s">
        <v>1544</v>
      </c>
      <c r="G11"/>
      <c r="H11"/>
      <c r="I11" s="396"/>
      <c r="J11" s="1"/>
      <c r="K11"/>
      <c r="L11" s="125"/>
      <c r="M11" s="125"/>
      <c r="N11" s="396">
        <v>-360</v>
      </c>
      <c r="O11" s="125"/>
      <c r="P11" s="18"/>
    </row>
    <row r="12" spans="1:16" x14ac:dyDescent="0.3">
      <c r="C12" s="59"/>
      <c r="D12" s="3"/>
      <c r="E12" s="180"/>
      <c r="F12" s="11" t="s">
        <v>1988</v>
      </c>
      <c r="H12" s="11"/>
      <c r="I12" s="396"/>
      <c r="J12"/>
      <c r="K12"/>
      <c r="L12" s="125"/>
      <c r="M12" s="125"/>
      <c r="N12" s="396">
        <v>-50</v>
      </c>
      <c r="O12" s="125"/>
      <c r="P12" s="18"/>
    </row>
    <row r="13" spans="1:16" x14ac:dyDescent="0.3">
      <c r="C13" s="59"/>
      <c r="D13" s="3"/>
      <c r="E13" s="180"/>
      <c r="F13" s="4"/>
      <c r="G13" s="4"/>
      <c r="H13"/>
      <c r="I13"/>
      <c r="J13"/>
      <c r="K13"/>
      <c r="L13" s="125"/>
      <c r="M13" s="125"/>
      <c r="N13" s="125"/>
      <c r="O13" s="396">
        <f>SUM(N8:N12)</f>
        <v>-879.7</v>
      </c>
      <c r="P13" s="18"/>
    </row>
    <row r="14" spans="1:16" ht="13.5" thickBot="1" x14ac:dyDescent="0.35">
      <c r="C14" s="59"/>
      <c r="D14" s="3"/>
      <c r="E14" s="180"/>
      <c r="F14" s="4"/>
      <c r="G14" s="181"/>
      <c r="H14" s="1"/>
      <c r="I14"/>
      <c r="J14" s="1"/>
      <c r="K14" s="125"/>
      <c r="L14" s="125"/>
      <c r="M14" s="125"/>
      <c r="N14" s="125"/>
      <c r="O14" s="125"/>
      <c r="P14" s="18"/>
    </row>
    <row r="15" spans="1:16" ht="13.5" thickBot="1" x14ac:dyDescent="0.35">
      <c r="C15" s="59"/>
      <c r="D15" s="3"/>
      <c r="E15" s="180"/>
      <c r="F15" s="74" t="s">
        <v>1270</v>
      </c>
      <c r="G15" s="179"/>
      <c r="H15" s="1"/>
      <c r="I15" s="4"/>
      <c r="J15" s="1"/>
      <c r="K15" s="125"/>
      <c r="L15" s="125"/>
      <c r="M15" s="125"/>
      <c r="N15" s="125"/>
      <c r="O15" s="346">
        <f>O5+O13</f>
        <v>5786.5</v>
      </c>
      <c r="P15" s="18"/>
    </row>
    <row r="16" spans="1:16" ht="13.5" thickTop="1" x14ac:dyDescent="0.3">
      <c r="C16" s="59"/>
      <c r="D16" s="3"/>
      <c r="E16" s="180"/>
      <c r="F16" s="4"/>
      <c r="G16" s="179"/>
      <c r="H16" s="1"/>
      <c r="I16" s="4"/>
      <c r="J16" s="1"/>
      <c r="K16" s="125"/>
      <c r="L16" s="125"/>
      <c r="M16" s="125"/>
      <c r="N16" s="125"/>
      <c r="O16" s="125"/>
      <c r="P16" s="18"/>
    </row>
    <row r="17" spans="3:16" x14ac:dyDescent="0.3">
      <c r="C17" s="59"/>
      <c r="D17" s="3"/>
      <c r="E17" s="180"/>
      <c r="F17" s="4"/>
      <c r="G17" s="179"/>
      <c r="H17" s="1"/>
      <c r="I17" s="4"/>
      <c r="J17" s="1"/>
      <c r="K17" s="125"/>
      <c r="L17" s="125"/>
      <c r="M17" s="125"/>
      <c r="N17" s="125"/>
      <c r="O17" s="125"/>
      <c r="P17" s="18"/>
    </row>
    <row r="18" spans="3:16" x14ac:dyDescent="0.3">
      <c r="C18" s="59"/>
      <c r="D18" s="3"/>
      <c r="E18" s="180" t="s">
        <v>1970</v>
      </c>
      <c r="F18" s="4"/>
      <c r="G18" s="179"/>
      <c r="H18" s="1"/>
      <c r="I18" s="4"/>
      <c r="J18" s="1"/>
      <c r="K18" s="125"/>
      <c r="L18" s="125"/>
      <c r="M18" s="125"/>
      <c r="N18" s="125"/>
      <c r="O18" s="125"/>
      <c r="P18" s="18"/>
    </row>
    <row r="19" spans="3:16" x14ac:dyDescent="0.3">
      <c r="C19" s="59"/>
      <c r="D19" s="174"/>
      <c r="E19" s="175"/>
      <c r="F19"/>
      <c r="G19" s="181"/>
      <c r="H19" s="1"/>
      <c r="I19"/>
      <c r="J19" s="1"/>
      <c r="K19" s="125"/>
      <c r="L19" s="125"/>
      <c r="M19" s="125"/>
      <c r="N19" s="125"/>
      <c r="O19" s="125"/>
      <c r="P19" s="18"/>
    </row>
    <row r="20" spans="3:16" x14ac:dyDescent="0.3">
      <c r="C20" s="59"/>
      <c r="D20" s="174"/>
      <c r="E20" s="350">
        <v>1</v>
      </c>
      <c r="F20" s="106" t="s">
        <v>489</v>
      </c>
      <c r="G20" s="4" t="s">
        <v>1591</v>
      </c>
      <c r="I20" s="15"/>
      <c r="J20" s="13">
        <v>50</v>
      </c>
      <c r="L20" s="254" t="s">
        <v>1972</v>
      </c>
      <c r="N20" s="43"/>
      <c r="O20" s="125"/>
      <c r="P20" s="18"/>
    </row>
    <row r="21" spans="3:16" x14ac:dyDescent="0.3">
      <c r="C21" s="59"/>
      <c r="D21" s="174"/>
      <c r="E21" s="350">
        <v>2</v>
      </c>
      <c r="F21" s="105" t="s">
        <v>400</v>
      </c>
      <c r="G21" s="4" t="s">
        <v>1642</v>
      </c>
      <c r="I21" s="15"/>
      <c r="J21" s="13">
        <v>50</v>
      </c>
      <c r="L21" s="254" t="s">
        <v>1972</v>
      </c>
      <c r="M21" s="1"/>
      <c r="N21"/>
      <c r="O21" s="125"/>
      <c r="P21" s="18"/>
    </row>
    <row r="22" spans="3:16" x14ac:dyDescent="0.3">
      <c r="C22" s="59"/>
      <c r="D22" s="174"/>
      <c r="E22" s="175">
        <v>3</v>
      </c>
      <c r="F22" s="105" t="s">
        <v>400</v>
      </c>
      <c r="G22" s="4" t="s">
        <v>1655</v>
      </c>
      <c r="I22" s="15"/>
      <c r="J22" s="13">
        <v>50</v>
      </c>
      <c r="L22" s="254" t="s">
        <v>1972</v>
      </c>
      <c r="N22" s="43"/>
      <c r="O22" s="125"/>
      <c r="P22" s="18"/>
    </row>
    <row r="23" spans="3:16" x14ac:dyDescent="0.3">
      <c r="C23" s="59"/>
      <c r="D23" s="174"/>
      <c r="E23" s="350">
        <v>4</v>
      </c>
      <c r="F23" s="131" t="s">
        <v>491</v>
      </c>
      <c r="G23" s="4" t="s">
        <v>1713</v>
      </c>
      <c r="I23" s="15"/>
      <c r="J23" s="13">
        <v>50</v>
      </c>
      <c r="L23" s="254" t="s">
        <v>1972</v>
      </c>
      <c r="N23" s="43"/>
      <c r="O23" s="125"/>
      <c r="P23" s="18"/>
    </row>
    <row r="24" spans="3:16" x14ac:dyDescent="0.3">
      <c r="C24" s="59"/>
      <c r="D24" s="174"/>
      <c r="E24" s="350">
        <v>5</v>
      </c>
      <c r="F24" s="131" t="s">
        <v>745</v>
      </c>
      <c r="G24" s="4" t="s">
        <v>2033</v>
      </c>
      <c r="I24" s="15"/>
      <c r="J24" s="13">
        <v>150</v>
      </c>
      <c r="L24" s="254" t="s">
        <v>2034</v>
      </c>
      <c r="N24" s="43"/>
      <c r="O24" s="125"/>
      <c r="P24" s="18"/>
    </row>
    <row r="25" spans="3:16" x14ac:dyDescent="0.3">
      <c r="C25" s="59"/>
      <c r="D25" s="174"/>
      <c r="E25" s="175">
        <v>6</v>
      </c>
      <c r="F25" s="131" t="s">
        <v>2019</v>
      </c>
      <c r="G25" s="4" t="s">
        <v>1966</v>
      </c>
      <c r="I25" s="15"/>
      <c r="J25" s="13">
        <v>50</v>
      </c>
      <c r="L25" s="254" t="s">
        <v>1973</v>
      </c>
      <c r="N25" s="43"/>
      <c r="O25" s="125"/>
      <c r="P25" s="18"/>
    </row>
    <row r="26" spans="3:16" x14ac:dyDescent="0.3">
      <c r="C26" s="59"/>
      <c r="D26" s="174"/>
      <c r="E26" s="175">
        <v>7</v>
      </c>
      <c r="F26" s="105" t="s">
        <v>2021</v>
      </c>
      <c r="G26" s="4" t="s">
        <v>2045</v>
      </c>
      <c r="H26" s="120"/>
      <c r="I26" s="27"/>
      <c r="J26" s="210">
        <v>150</v>
      </c>
      <c r="K26" s="42"/>
      <c r="L26" s="43" t="s">
        <v>2049</v>
      </c>
      <c r="N26" s="43"/>
      <c r="O26" s="125"/>
      <c r="P26" s="18"/>
    </row>
    <row r="27" spans="3:16" x14ac:dyDescent="0.3">
      <c r="C27" s="59"/>
      <c r="D27" s="174"/>
      <c r="E27" s="175">
        <v>8</v>
      </c>
      <c r="F27" s="105" t="s">
        <v>2026</v>
      </c>
      <c r="G27" s="128" t="s">
        <v>907</v>
      </c>
      <c r="H27" s="120"/>
      <c r="I27" s="27"/>
      <c r="J27" s="210">
        <v>50</v>
      </c>
      <c r="K27" s="42"/>
      <c r="L27" s="43" t="s">
        <v>2050</v>
      </c>
      <c r="N27" s="43"/>
      <c r="O27" s="125"/>
      <c r="P27" s="18"/>
    </row>
    <row r="28" spans="3:16" x14ac:dyDescent="0.3">
      <c r="C28" s="59"/>
      <c r="D28" s="174"/>
      <c r="E28" s="350">
        <v>9</v>
      </c>
      <c r="F28" s="105" t="s">
        <v>2108</v>
      </c>
      <c r="G28" s="128" t="s">
        <v>2109</v>
      </c>
      <c r="H28" s="120"/>
      <c r="I28" s="27"/>
      <c r="J28" s="1">
        <v>50</v>
      </c>
      <c r="K28" s="42"/>
      <c r="L28" s="43" t="s">
        <v>2107</v>
      </c>
      <c r="N28" s="43"/>
      <c r="O28" s="125"/>
      <c r="P28" s="18"/>
    </row>
    <row r="29" spans="3:16" x14ac:dyDescent="0.3">
      <c r="C29" s="59"/>
      <c r="D29" s="174"/>
      <c r="E29" s="347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8"/>
    </row>
    <row r="30" spans="3:16" x14ac:dyDescent="0.3">
      <c r="C30" s="59"/>
      <c r="D30" s="174"/>
      <c r="E30" s="180"/>
      <c r="F30" s="4"/>
      <c r="G30" s="179"/>
      <c r="H30" s="193"/>
      <c r="I30" s="181"/>
      <c r="J30" s="193"/>
      <c r="K30" s="200"/>
      <c r="L30" s="125"/>
      <c r="M30" s="125"/>
      <c r="N30" s="125"/>
      <c r="O30" s="125"/>
      <c r="P30" s="18"/>
    </row>
    <row r="31" spans="3:16" x14ac:dyDescent="0.3">
      <c r="C31" s="59"/>
      <c r="D31" s="174"/>
      <c r="E31" s="175"/>
      <c r="F31" s="292" t="s">
        <v>1274</v>
      </c>
      <c r="G31" s="292"/>
      <c r="H31" s="1"/>
      <c r="I31"/>
      <c r="J31" s="22">
        <f>SUM(J20:J28)</f>
        <v>650</v>
      </c>
      <c r="K31" s="186" t="s">
        <v>924</v>
      </c>
      <c r="L31" s="125"/>
      <c r="M31" s="125"/>
      <c r="N31" s="125"/>
      <c r="O31" s="125"/>
      <c r="P31" s="18"/>
    </row>
    <row r="32" spans="3:16" x14ac:dyDescent="0.3">
      <c r="C32" s="59"/>
      <c r="D32" s="174"/>
      <c r="E32" s="175"/>
      <c r="F32"/>
      <c r="G32" s="181"/>
      <c r="H32" s="1"/>
      <c r="I32"/>
      <c r="J32" s="1"/>
      <c r="K32" s="125"/>
      <c r="L32" s="125"/>
      <c r="M32" s="125"/>
      <c r="N32" s="125"/>
      <c r="O32" s="125"/>
      <c r="P32" s="18"/>
    </row>
    <row r="33" spans="1:21" x14ac:dyDescent="0.3">
      <c r="C33" s="59"/>
      <c r="D33" s="5"/>
      <c r="E33" s="124"/>
      <c r="F33" s="3"/>
      <c r="H33" s="2"/>
      <c r="I33" s="41"/>
      <c r="J33" s="41"/>
      <c r="K33" s="41"/>
      <c r="L33" s="41"/>
      <c r="M33" s="41"/>
      <c r="N33" s="44"/>
    </row>
    <row r="34" spans="1:21" x14ac:dyDescent="0.3">
      <c r="C34" s="59"/>
      <c r="D34" s="5"/>
      <c r="E34" s="124"/>
      <c r="F34" s="3"/>
      <c r="H34" s="2"/>
      <c r="I34" s="41"/>
      <c r="J34" s="41"/>
      <c r="K34" s="41"/>
      <c r="L34" s="41"/>
      <c r="M34" s="41"/>
      <c r="N34" s="44"/>
    </row>
    <row r="35" spans="1:21" x14ac:dyDescent="0.3">
      <c r="A35" s="12"/>
      <c r="C35" s="29"/>
      <c r="D35" s="5"/>
      <c r="E35" s="124"/>
      <c r="F35" s="2"/>
      <c r="H35" s="2"/>
      <c r="I35" s="41"/>
      <c r="J35" s="41"/>
      <c r="K35" s="41"/>
      <c r="L35" s="41"/>
      <c r="M35" s="41"/>
      <c r="N35" s="44"/>
    </row>
    <row r="36" spans="1:21" x14ac:dyDescent="0.3">
      <c r="A36" s="28"/>
      <c r="B36" s="361"/>
      <c r="C36" s="29"/>
      <c r="D36" s="5" t="s">
        <v>112</v>
      </c>
      <c r="E36" s="124"/>
      <c r="F36" s="2"/>
      <c r="H36" s="2"/>
      <c r="I36" s="41"/>
      <c r="J36" s="41"/>
      <c r="K36" s="41"/>
      <c r="L36" s="41"/>
      <c r="M36" s="41"/>
      <c r="N36" s="44"/>
    </row>
    <row r="37" spans="1:21" x14ac:dyDescent="0.3">
      <c r="A37" s="28"/>
      <c r="B37" s="361"/>
      <c r="C37" s="29"/>
      <c r="D37" s="5" t="s">
        <v>113</v>
      </c>
      <c r="E37" s="124"/>
      <c r="F37" s="2"/>
      <c r="H37" s="2"/>
      <c r="I37" s="41"/>
      <c r="J37" s="41"/>
      <c r="K37" s="41"/>
      <c r="L37" s="78" t="s">
        <v>503</v>
      </c>
      <c r="M37" s="328">
        <f>'CASH BOOK 2022'!M370</f>
        <v>5786.4999999999882</v>
      </c>
      <c r="N37" s="44"/>
    </row>
    <row r="38" spans="1:21" x14ac:dyDescent="0.3">
      <c r="A38" s="12"/>
      <c r="C38" s="29"/>
      <c r="D38" s="11"/>
      <c r="E38" s="27"/>
      <c r="G38" s="11"/>
    </row>
    <row r="39" spans="1:21" s="23" customFormat="1" x14ac:dyDescent="0.3">
      <c r="A39" s="28"/>
      <c r="B39" s="361" t="s">
        <v>23</v>
      </c>
      <c r="C39" s="107" t="s">
        <v>496</v>
      </c>
      <c r="D39" s="74" t="s">
        <v>497</v>
      </c>
      <c r="E39" s="113" t="s">
        <v>498</v>
      </c>
      <c r="F39" s="22"/>
      <c r="G39" s="74"/>
      <c r="H39" s="22" t="s">
        <v>2271</v>
      </c>
      <c r="I39" s="75" t="s">
        <v>502</v>
      </c>
      <c r="J39" s="75" t="s">
        <v>501</v>
      </c>
      <c r="K39" s="75" t="s">
        <v>56</v>
      </c>
      <c r="L39" s="75" t="s">
        <v>493</v>
      </c>
      <c r="M39" s="75"/>
      <c r="N39" s="76"/>
      <c r="P39" s="77"/>
      <c r="R39" s="74"/>
    </row>
    <row r="40" spans="1:21" x14ac:dyDescent="0.3">
      <c r="A40" s="411" t="s">
        <v>2261</v>
      </c>
      <c r="B40" s="360">
        <v>44950</v>
      </c>
      <c r="C40" s="105" t="s">
        <v>482</v>
      </c>
      <c r="D40" s="4" t="s">
        <v>299</v>
      </c>
      <c r="E40" s="132" t="s">
        <v>301</v>
      </c>
      <c r="F40" s="120" t="s">
        <v>1801</v>
      </c>
      <c r="G40" s="240" t="s">
        <v>2039</v>
      </c>
      <c r="H40" s="33" t="str">
        <f t="shared" ref="H40:H88" si="0">IF(A40&lt;&gt;"","2023 0"&amp;MONTH(B40)&amp;" "&amp;A40,"")</f>
        <v>2023 01 01</v>
      </c>
      <c r="I40" s="396"/>
      <c r="J40" s="396"/>
      <c r="K40" s="396">
        <v>-45.54</v>
      </c>
      <c r="L40" s="396">
        <f t="shared" ref="L40:L45" si="1">I40+K40</f>
        <v>-45.54</v>
      </c>
      <c r="M40" s="43">
        <f>+M37+L40</f>
        <v>5740.9599999999882</v>
      </c>
      <c r="P40" s="30" t="s">
        <v>2153</v>
      </c>
      <c r="Q40" s="30"/>
      <c r="R40" s="30"/>
      <c r="S40"/>
      <c r="T40"/>
      <c r="U40"/>
    </row>
    <row r="41" spans="1:21" x14ac:dyDescent="0.3">
      <c r="A41" s="411" t="s">
        <v>2262</v>
      </c>
      <c r="B41" s="360">
        <v>44953</v>
      </c>
      <c r="C41" s="105" t="s">
        <v>482</v>
      </c>
      <c r="D41" s="4" t="s">
        <v>607</v>
      </c>
      <c r="E41" s="133" t="s">
        <v>11</v>
      </c>
      <c r="F41" s="120" t="s">
        <v>1802</v>
      </c>
      <c r="G41" s="240" t="s">
        <v>2039</v>
      </c>
      <c r="H41" s="33" t="str">
        <f t="shared" si="0"/>
        <v>2023 01 02</v>
      </c>
      <c r="I41" s="396"/>
      <c r="J41" s="396"/>
      <c r="K41" s="396">
        <v>-29.54</v>
      </c>
      <c r="L41" s="396">
        <f t="shared" si="1"/>
        <v>-29.54</v>
      </c>
      <c r="M41" s="43">
        <f>+M40+L41</f>
        <v>5711.4199999999882</v>
      </c>
      <c r="P41"/>
      <c r="Q41"/>
      <c r="R41"/>
      <c r="S41"/>
      <c r="T41"/>
      <c r="U41"/>
    </row>
    <row r="42" spans="1:21" x14ac:dyDescent="0.3">
      <c r="A42" s="411" t="s">
        <v>2263</v>
      </c>
      <c r="B42" s="360">
        <v>44946</v>
      </c>
      <c r="C42" s="105" t="s">
        <v>482</v>
      </c>
      <c r="D42" s="4" t="s">
        <v>2046</v>
      </c>
      <c r="E42" s="133" t="s">
        <v>12</v>
      </c>
      <c r="F42" s="269" t="s">
        <v>1802</v>
      </c>
      <c r="G42" s="240" t="s">
        <v>2039</v>
      </c>
      <c r="H42" s="33" t="str">
        <f t="shared" si="0"/>
        <v>2023 01 03</v>
      </c>
      <c r="I42" s="396"/>
      <c r="J42" s="396"/>
      <c r="K42" s="396">
        <v>-43.2</v>
      </c>
      <c r="L42" s="396">
        <f t="shared" si="1"/>
        <v>-43.2</v>
      </c>
      <c r="M42" s="43">
        <f t="shared" ref="M42:M69" si="2">+M41+L42</f>
        <v>5668.2199999999884</v>
      </c>
      <c r="P42" t="s">
        <v>584</v>
      </c>
      <c r="Q42"/>
      <c r="R42"/>
      <c r="S42"/>
      <c r="T42"/>
      <c r="U42" s="396">
        <v>5498.89</v>
      </c>
    </row>
    <row r="43" spans="1:21" x14ac:dyDescent="0.3">
      <c r="A43" s="411" t="s">
        <v>2264</v>
      </c>
      <c r="B43" s="360">
        <v>44935</v>
      </c>
      <c r="C43" s="105" t="s">
        <v>482</v>
      </c>
      <c r="D43" s="4" t="s">
        <v>48</v>
      </c>
      <c r="E43" s="133" t="s">
        <v>12</v>
      </c>
      <c r="F43" s="269" t="s">
        <v>1802</v>
      </c>
      <c r="G43" s="240" t="s">
        <v>2039</v>
      </c>
      <c r="H43" s="33" t="str">
        <f t="shared" si="0"/>
        <v>2023 01 04</v>
      </c>
      <c r="I43" s="396"/>
      <c r="J43" s="396"/>
      <c r="K43" s="396">
        <v>-126.46</v>
      </c>
      <c r="L43" s="396">
        <f t="shared" si="1"/>
        <v>-126.46</v>
      </c>
      <c r="M43" s="43">
        <f t="shared" si="2"/>
        <v>5541.7599999999884</v>
      </c>
      <c r="P43" t="s">
        <v>586</v>
      </c>
      <c r="Q43"/>
      <c r="R43"/>
      <c r="S43"/>
      <c r="T43"/>
      <c r="U43" s="396"/>
    </row>
    <row r="44" spans="1:21" x14ac:dyDescent="0.3">
      <c r="A44" s="12"/>
      <c r="C44" s="105" t="s">
        <v>482</v>
      </c>
      <c r="D44" s="4" t="s">
        <v>58</v>
      </c>
      <c r="E44" s="133" t="s">
        <v>9</v>
      </c>
      <c r="F44" s="269" t="s">
        <v>482</v>
      </c>
      <c r="G44" s="240" t="s">
        <v>2039</v>
      </c>
      <c r="H44" s="33" t="str">
        <f t="shared" si="0"/>
        <v/>
      </c>
      <c r="I44" s="396"/>
      <c r="J44" s="396"/>
      <c r="K44" s="396"/>
      <c r="L44" s="396">
        <f t="shared" si="1"/>
        <v>0</v>
      </c>
      <c r="M44" s="43">
        <f t="shared" si="2"/>
        <v>5541.7599999999884</v>
      </c>
      <c r="P44"/>
      <c r="Q44"/>
      <c r="R44"/>
      <c r="S44"/>
      <c r="T44"/>
      <c r="U44" s="396"/>
    </row>
    <row r="45" spans="1:21" x14ac:dyDescent="0.3">
      <c r="A45" s="411" t="s">
        <v>2265</v>
      </c>
      <c r="B45" s="360">
        <v>44946</v>
      </c>
      <c r="C45" s="105" t="s">
        <v>482</v>
      </c>
      <c r="D45" s="4" t="s">
        <v>58</v>
      </c>
      <c r="E45" s="133" t="s">
        <v>8</v>
      </c>
      <c r="F45" s="269" t="s">
        <v>482</v>
      </c>
      <c r="G45" s="240" t="s">
        <v>2039</v>
      </c>
      <c r="H45" s="33" t="str">
        <f t="shared" si="0"/>
        <v>2023 01 05</v>
      </c>
      <c r="I45" s="396"/>
      <c r="J45" s="396"/>
      <c r="K45" s="396">
        <v>-328.67</v>
      </c>
      <c r="L45" s="396">
        <f t="shared" si="1"/>
        <v>-328.67</v>
      </c>
      <c r="M45" s="43">
        <f t="shared" si="2"/>
        <v>5213.0899999999883</v>
      </c>
      <c r="P45" s="15"/>
      <c r="Q45"/>
      <c r="R45"/>
      <c r="S45" s="396"/>
      <c r="T45"/>
      <c r="U45" s="396"/>
    </row>
    <row r="46" spans="1:21" x14ac:dyDescent="0.3">
      <c r="A46" s="12"/>
      <c r="B46" s="360">
        <v>44929</v>
      </c>
      <c r="C46" s="105" t="s">
        <v>482</v>
      </c>
      <c r="D46" s="4" t="s">
        <v>2111</v>
      </c>
      <c r="E46" s="133" t="s">
        <v>1331</v>
      </c>
      <c r="F46" s="269"/>
      <c r="G46" s="240" t="s">
        <v>2039</v>
      </c>
      <c r="H46" s="33" t="str">
        <f t="shared" si="0"/>
        <v/>
      </c>
      <c r="I46" s="396"/>
      <c r="J46" s="396"/>
      <c r="K46" s="396">
        <v>-5000</v>
      </c>
      <c r="L46" s="396">
        <f t="shared" ref="L46:L59" si="3">I46+K46</f>
        <v>-5000</v>
      </c>
      <c r="M46" s="43">
        <f t="shared" si="2"/>
        <v>213.08999999998832</v>
      </c>
      <c r="P46" s="15" t="s">
        <v>2157</v>
      </c>
      <c r="Q46"/>
      <c r="R46"/>
      <c r="S46" s="396">
        <v>123.78</v>
      </c>
      <c r="T46"/>
      <c r="U46" s="396"/>
    </row>
    <row r="47" spans="1:21" x14ac:dyDescent="0.3">
      <c r="A47" s="12"/>
      <c r="B47" s="360">
        <v>44929</v>
      </c>
      <c r="C47" s="105" t="s">
        <v>482</v>
      </c>
      <c r="D47" s="4" t="s">
        <v>1870</v>
      </c>
      <c r="E47" s="133" t="s">
        <v>36</v>
      </c>
      <c r="F47" s="269" t="s">
        <v>2112</v>
      </c>
      <c r="G47" s="240" t="s">
        <v>2039</v>
      </c>
      <c r="H47" s="33" t="str">
        <f t="shared" si="0"/>
        <v/>
      </c>
      <c r="I47" s="399">
        <v>40.799999999999997</v>
      </c>
      <c r="J47" s="396"/>
      <c r="K47" s="396"/>
      <c r="L47" s="396">
        <f t="shared" si="3"/>
        <v>40.799999999999997</v>
      </c>
      <c r="M47" s="43">
        <f t="shared" si="2"/>
        <v>253.88999999998833</v>
      </c>
      <c r="P47" s="15"/>
      <c r="Q47"/>
      <c r="R47"/>
      <c r="S47" s="396"/>
      <c r="T47"/>
      <c r="U47" s="396"/>
    </row>
    <row r="48" spans="1:21" x14ac:dyDescent="0.3">
      <c r="A48" s="12"/>
      <c r="B48" s="360">
        <v>44929</v>
      </c>
      <c r="C48" s="105" t="s">
        <v>482</v>
      </c>
      <c r="D48" s="4" t="s">
        <v>670</v>
      </c>
      <c r="E48" s="133" t="s">
        <v>36</v>
      </c>
      <c r="F48" s="269" t="s">
        <v>2113</v>
      </c>
      <c r="G48" s="240" t="s">
        <v>2039</v>
      </c>
      <c r="H48" s="33" t="str">
        <f t="shared" si="0"/>
        <v/>
      </c>
      <c r="I48" s="399">
        <v>60</v>
      </c>
      <c r="J48" s="396"/>
      <c r="K48" s="396"/>
      <c r="L48" s="396">
        <f t="shared" si="3"/>
        <v>60</v>
      </c>
      <c r="M48" s="43">
        <f t="shared" si="2"/>
        <v>313.88999999998833</v>
      </c>
      <c r="P48" s="11"/>
      <c r="Q48"/>
      <c r="R48"/>
      <c r="S48" s="396"/>
      <c r="T48"/>
      <c r="U48" s="396"/>
    </row>
    <row r="49" spans="1:21" x14ac:dyDescent="0.3">
      <c r="A49" s="12"/>
      <c r="B49" s="360">
        <v>44929</v>
      </c>
      <c r="C49" s="105" t="s">
        <v>482</v>
      </c>
      <c r="D49" s="4" t="s">
        <v>1870</v>
      </c>
      <c r="E49" s="133" t="s">
        <v>36</v>
      </c>
      <c r="F49" s="269"/>
      <c r="G49" s="240" t="s">
        <v>2039</v>
      </c>
      <c r="H49" s="33" t="str">
        <f t="shared" si="0"/>
        <v/>
      </c>
      <c r="I49" s="399">
        <v>126</v>
      </c>
      <c r="J49" s="396"/>
      <c r="K49" s="396"/>
      <c r="L49" s="396">
        <f t="shared" si="3"/>
        <v>126</v>
      </c>
      <c r="M49" s="43">
        <f t="shared" si="2"/>
        <v>439.88999999998833</v>
      </c>
      <c r="P49" s="4"/>
      <c r="Q49"/>
      <c r="R49"/>
      <c r="S49" s="396"/>
      <c r="T49"/>
      <c r="U49" s="396"/>
    </row>
    <row r="50" spans="1:21" x14ac:dyDescent="0.3">
      <c r="A50" s="12"/>
      <c r="B50" s="360">
        <v>44929</v>
      </c>
      <c r="C50" s="105" t="s">
        <v>482</v>
      </c>
      <c r="D50" s="4" t="s">
        <v>2114</v>
      </c>
      <c r="E50" s="133" t="s">
        <v>36</v>
      </c>
      <c r="F50" s="269" t="s">
        <v>2113</v>
      </c>
      <c r="G50" s="240" t="s">
        <v>2039</v>
      </c>
      <c r="H50" s="33" t="str">
        <f t="shared" si="0"/>
        <v/>
      </c>
      <c r="I50" s="399">
        <v>294</v>
      </c>
      <c r="J50" s="396"/>
      <c r="K50" s="396"/>
      <c r="L50" s="396">
        <f t="shared" si="3"/>
        <v>294</v>
      </c>
      <c r="M50" s="43">
        <f t="shared" si="2"/>
        <v>733.88999999998828</v>
      </c>
      <c r="P50" s="11"/>
      <c r="S50" s="396"/>
      <c r="T50"/>
      <c r="U50" s="396"/>
    </row>
    <row r="51" spans="1:21" x14ac:dyDescent="0.3">
      <c r="A51" s="12"/>
      <c r="B51" s="360">
        <v>44929</v>
      </c>
      <c r="C51" s="105" t="s">
        <v>482</v>
      </c>
      <c r="D51" s="4" t="s">
        <v>2109</v>
      </c>
      <c r="E51" s="133" t="s">
        <v>2116</v>
      </c>
      <c r="F51" s="269"/>
      <c r="G51" s="240" t="s">
        <v>2039</v>
      </c>
      <c r="H51" s="33" t="str">
        <f t="shared" si="0"/>
        <v/>
      </c>
      <c r="I51" s="396"/>
      <c r="J51" s="396"/>
      <c r="K51" s="396">
        <v>-50</v>
      </c>
      <c r="L51" s="396">
        <f t="shared" si="3"/>
        <v>-50</v>
      </c>
      <c r="M51" s="43">
        <f t="shared" si="2"/>
        <v>683.88999999998828</v>
      </c>
      <c r="P51"/>
      <c r="Q51"/>
      <c r="R51"/>
      <c r="S51" s="125"/>
      <c r="T51"/>
      <c r="U51" s="396"/>
    </row>
    <row r="52" spans="1:21" x14ac:dyDescent="0.3">
      <c r="A52" s="12"/>
      <c r="B52" s="360">
        <v>44930</v>
      </c>
      <c r="C52" s="105" t="s">
        <v>482</v>
      </c>
      <c r="D52" s="4" t="s">
        <v>2066</v>
      </c>
      <c r="E52" s="133" t="s">
        <v>37</v>
      </c>
      <c r="F52" s="269"/>
      <c r="G52" s="240" t="s">
        <v>2039</v>
      </c>
      <c r="H52" s="33" t="str">
        <f t="shared" si="0"/>
        <v/>
      </c>
      <c r="I52" s="396">
        <v>42</v>
      </c>
      <c r="J52" s="396"/>
      <c r="K52" s="396"/>
      <c r="L52" s="396">
        <f t="shared" si="3"/>
        <v>42</v>
      </c>
      <c r="M52" s="43">
        <f t="shared" si="2"/>
        <v>725.88999999998828</v>
      </c>
      <c r="P52"/>
      <c r="Q52"/>
      <c r="R52"/>
      <c r="S52" s="4"/>
      <c r="T52"/>
      <c r="U52" s="396">
        <f>SUM(S43:S51)</f>
        <v>123.78</v>
      </c>
    </row>
    <row r="53" spans="1:21" x14ac:dyDescent="0.3">
      <c r="A53" s="12"/>
      <c r="B53" s="360">
        <v>44930</v>
      </c>
      <c r="C53" s="105" t="s">
        <v>482</v>
      </c>
      <c r="D53" s="4" t="s">
        <v>2066</v>
      </c>
      <c r="E53" s="133" t="s">
        <v>500</v>
      </c>
      <c r="F53" s="269"/>
      <c r="G53" s="240" t="s">
        <v>2039</v>
      </c>
      <c r="H53" s="33" t="str">
        <f t="shared" si="0"/>
        <v/>
      </c>
      <c r="I53" s="396">
        <v>50</v>
      </c>
      <c r="J53" s="396"/>
      <c r="K53" s="396"/>
      <c r="L53" s="396">
        <f t="shared" si="3"/>
        <v>50</v>
      </c>
      <c r="M53" s="43">
        <f t="shared" si="2"/>
        <v>775.88999999998828</v>
      </c>
      <c r="P53"/>
      <c r="Q53"/>
      <c r="R53"/>
      <c r="S53" s="4"/>
      <c r="T53"/>
      <c r="U53" s="396"/>
    </row>
    <row r="54" spans="1:21" x14ac:dyDescent="0.3">
      <c r="A54" s="12"/>
      <c r="B54" s="360">
        <v>44930</v>
      </c>
      <c r="C54" s="105" t="s">
        <v>482</v>
      </c>
      <c r="D54" s="4" t="s">
        <v>218</v>
      </c>
      <c r="E54" s="133" t="s">
        <v>36</v>
      </c>
      <c r="F54" s="269"/>
      <c r="G54" s="240" t="s">
        <v>2039</v>
      </c>
      <c r="H54" s="33" t="str">
        <f t="shared" si="0"/>
        <v/>
      </c>
      <c r="I54" s="399">
        <v>636.29999999999995</v>
      </c>
      <c r="J54" s="396"/>
      <c r="K54" s="396"/>
      <c r="L54" s="396">
        <f t="shared" si="3"/>
        <v>636.29999999999995</v>
      </c>
      <c r="M54" s="43">
        <f t="shared" si="2"/>
        <v>1412.1899999999882</v>
      </c>
      <c r="P54"/>
      <c r="Q54"/>
      <c r="R54"/>
      <c r="S54" s="4"/>
      <c r="T54"/>
      <c r="U54" s="397">
        <f>U42+U52</f>
        <v>5622.67</v>
      </c>
    </row>
    <row r="55" spans="1:21" x14ac:dyDescent="0.3">
      <c r="A55" s="411" t="s">
        <v>2266</v>
      </c>
      <c r="B55" s="360">
        <v>44931</v>
      </c>
      <c r="C55" s="105" t="s">
        <v>482</v>
      </c>
      <c r="D55" s="4" t="s">
        <v>2124</v>
      </c>
      <c r="E55" s="133" t="s">
        <v>40</v>
      </c>
      <c r="F55" s="269"/>
      <c r="G55" s="240" t="s">
        <v>2039</v>
      </c>
      <c r="H55" s="33" t="str">
        <f t="shared" si="0"/>
        <v>2023 01 06</v>
      </c>
      <c r="I55" s="396"/>
      <c r="J55" s="396"/>
      <c r="K55" s="396">
        <v>-155.4</v>
      </c>
      <c r="L55" s="396">
        <f t="shared" si="3"/>
        <v>-155.4</v>
      </c>
      <c r="M55" s="43">
        <f t="shared" si="2"/>
        <v>1256.7899999999881</v>
      </c>
      <c r="P55"/>
      <c r="Q55"/>
      <c r="R55"/>
      <c r="S55" s="4"/>
      <c r="T55"/>
      <c r="U55" s="396">
        <f>VLOOKUP("Jan End",C:M,11,FALSE)-U54</f>
        <v>-1.1823431123048067E-11</v>
      </c>
    </row>
    <row r="56" spans="1:21" x14ac:dyDescent="0.3">
      <c r="A56" s="12"/>
      <c r="B56" s="360">
        <v>44931</v>
      </c>
      <c r="C56" s="105" t="s">
        <v>482</v>
      </c>
      <c r="D56" s="4" t="s">
        <v>2125</v>
      </c>
      <c r="E56" s="133" t="s">
        <v>36</v>
      </c>
      <c r="F56" s="269"/>
      <c r="G56" s="240" t="s">
        <v>2039</v>
      </c>
      <c r="H56" s="33" t="str">
        <f t="shared" si="0"/>
        <v/>
      </c>
      <c r="I56" s="399">
        <v>1249.5</v>
      </c>
      <c r="J56" s="396"/>
      <c r="K56" s="396"/>
      <c r="L56" s="396">
        <f t="shared" si="3"/>
        <v>1249.5</v>
      </c>
      <c r="M56" s="43">
        <f t="shared" si="2"/>
        <v>2506.2899999999881</v>
      </c>
      <c r="P56" s="13"/>
      <c r="Q56" s="11"/>
      <c r="S56" s="11"/>
      <c r="T56" s="11"/>
      <c r="U56" s="11"/>
    </row>
    <row r="57" spans="1:21" x14ac:dyDescent="0.3">
      <c r="A57" s="12"/>
      <c r="B57" s="360">
        <v>44935</v>
      </c>
      <c r="C57" s="105" t="s">
        <v>482</v>
      </c>
      <c r="D57" s="4" t="s">
        <v>166</v>
      </c>
      <c r="E57" s="133" t="s">
        <v>36</v>
      </c>
      <c r="F57" s="269"/>
      <c r="G57" s="240" t="s">
        <v>2039</v>
      </c>
      <c r="H57" s="33" t="str">
        <f t="shared" si="0"/>
        <v/>
      </c>
      <c r="I57" s="399">
        <v>312.38</v>
      </c>
      <c r="J57" s="396"/>
      <c r="K57" s="396"/>
      <c r="L57" s="396">
        <f t="shared" si="3"/>
        <v>312.38</v>
      </c>
      <c r="M57" s="43">
        <f t="shared" si="2"/>
        <v>2818.6699999999882</v>
      </c>
      <c r="U57"/>
    </row>
    <row r="58" spans="1:21" x14ac:dyDescent="0.3">
      <c r="A58" s="12"/>
      <c r="B58" s="360">
        <v>44936</v>
      </c>
      <c r="C58" s="105" t="s">
        <v>482</v>
      </c>
      <c r="D58" s="4" t="s">
        <v>218</v>
      </c>
      <c r="E58" s="133" t="s">
        <v>622</v>
      </c>
      <c r="F58" s="269"/>
      <c r="G58" s="240" t="s">
        <v>2039</v>
      </c>
      <c r="H58" s="33" t="str">
        <f t="shared" si="0"/>
        <v/>
      </c>
      <c r="I58" s="396">
        <v>25</v>
      </c>
      <c r="J58" s="396"/>
      <c r="K58" s="396"/>
      <c r="L58" s="396">
        <f t="shared" si="3"/>
        <v>25</v>
      </c>
      <c r="M58" s="43">
        <f t="shared" si="2"/>
        <v>2843.6699999999882</v>
      </c>
      <c r="U58"/>
    </row>
    <row r="59" spans="1:21" x14ac:dyDescent="0.3">
      <c r="A59" s="12"/>
      <c r="B59" s="360">
        <v>44936</v>
      </c>
      <c r="C59" s="105" t="s">
        <v>482</v>
      </c>
      <c r="D59" s="4" t="s">
        <v>2117</v>
      </c>
      <c r="E59" s="133" t="s">
        <v>36</v>
      </c>
      <c r="F59" s="269"/>
      <c r="G59" s="240" t="s">
        <v>2039</v>
      </c>
      <c r="H59" s="33" t="str">
        <f t="shared" si="0"/>
        <v/>
      </c>
      <c r="I59" s="399">
        <v>646.79999999999995</v>
      </c>
      <c r="J59" s="396"/>
      <c r="K59" s="396"/>
      <c r="L59" s="396">
        <f t="shared" si="3"/>
        <v>646.79999999999995</v>
      </c>
      <c r="M59" s="43">
        <f t="shared" si="2"/>
        <v>3490.4699999999884</v>
      </c>
      <c r="U59"/>
    </row>
    <row r="60" spans="1:21" x14ac:dyDescent="0.3">
      <c r="A60" s="12"/>
      <c r="B60" s="360">
        <v>44936</v>
      </c>
      <c r="C60" s="105" t="s">
        <v>482</v>
      </c>
      <c r="D60" s="4" t="s">
        <v>743</v>
      </c>
      <c r="E60" s="133" t="s">
        <v>36</v>
      </c>
      <c r="F60" s="269"/>
      <c r="G60" s="240" t="s">
        <v>2039</v>
      </c>
      <c r="H60" s="33" t="str">
        <f t="shared" si="0"/>
        <v/>
      </c>
      <c r="I60" s="399">
        <v>859.95</v>
      </c>
      <c r="J60" s="396"/>
      <c r="K60" s="396"/>
      <c r="L60" s="396">
        <f t="shared" ref="L60:L72" si="4">I60+K60</f>
        <v>859.95</v>
      </c>
      <c r="M60" s="43">
        <f t="shared" si="2"/>
        <v>4350.4199999999882</v>
      </c>
      <c r="U60"/>
    </row>
    <row r="61" spans="1:21" x14ac:dyDescent="0.3">
      <c r="A61" s="12"/>
      <c r="B61" s="360">
        <v>44937</v>
      </c>
      <c r="C61" s="105" t="s">
        <v>482</v>
      </c>
      <c r="D61" s="4" t="s">
        <v>2118</v>
      </c>
      <c r="E61" s="133" t="s">
        <v>36</v>
      </c>
      <c r="F61" s="269" t="s">
        <v>2119</v>
      </c>
      <c r="G61" s="240" t="s">
        <v>2039</v>
      </c>
      <c r="H61" s="33" t="str">
        <f t="shared" si="0"/>
        <v/>
      </c>
      <c r="I61" s="399">
        <v>30</v>
      </c>
      <c r="J61" s="396"/>
      <c r="K61" s="396"/>
      <c r="L61" s="396">
        <f t="shared" si="4"/>
        <v>30</v>
      </c>
      <c r="M61" s="43">
        <f t="shared" si="2"/>
        <v>4380.4199999999882</v>
      </c>
      <c r="U61"/>
    </row>
    <row r="62" spans="1:21" x14ac:dyDescent="0.3">
      <c r="A62" s="12"/>
      <c r="B62" s="360">
        <v>44937</v>
      </c>
      <c r="C62" s="105" t="s">
        <v>482</v>
      </c>
      <c r="D62" s="4" t="s">
        <v>2120</v>
      </c>
      <c r="E62" s="133" t="s">
        <v>37</v>
      </c>
      <c r="F62" s="269" t="s">
        <v>2121</v>
      </c>
      <c r="G62" s="240" t="s">
        <v>2039</v>
      </c>
      <c r="H62" s="33" t="str">
        <f t="shared" si="0"/>
        <v/>
      </c>
      <c r="I62" s="396">
        <v>100</v>
      </c>
      <c r="J62" s="396"/>
      <c r="K62" s="396"/>
      <c r="L62" s="396">
        <f t="shared" si="4"/>
        <v>100</v>
      </c>
      <c r="M62" s="43">
        <f t="shared" si="2"/>
        <v>4480.4199999999882</v>
      </c>
      <c r="U62"/>
    </row>
    <row r="63" spans="1:21" x14ac:dyDescent="0.3">
      <c r="A63" s="12"/>
      <c r="B63" s="360">
        <v>44938</v>
      </c>
      <c r="C63" s="105" t="s">
        <v>482</v>
      </c>
      <c r="D63" s="11" t="s">
        <v>1296</v>
      </c>
      <c r="E63" s="133" t="s">
        <v>37</v>
      </c>
      <c r="F63" s="269" t="s">
        <v>2122</v>
      </c>
      <c r="G63" s="240" t="s">
        <v>2039</v>
      </c>
      <c r="H63" s="33" t="str">
        <f t="shared" si="0"/>
        <v/>
      </c>
      <c r="I63" s="396">
        <v>30</v>
      </c>
      <c r="J63" s="396"/>
      <c r="K63" s="396"/>
      <c r="L63" s="396">
        <f t="shared" si="4"/>
        <v>30</v>
      </c>
      <c r="M63" s="43">
        <f t="shared" si="2"/>
        <v>4510.4199999999882</v>
      </c>
      <c r="U63"/>
    </row>
    <row r="64" spans="1:21" x14ac:dyDescent="0.3">
      <c r="A64" s="12"/>
      <c r="B64" s="360">
        <v>44938</v>
      </c>
      <c r="C64" s="105" t="s">
        <v>482</v>
      </c>
      <c r="D64" s="4" t="s">
        <v>2123</v>
      </c>
      <c r="E64" s="133" t="s">
        <v>36</v>
      </c>
      <c r="F64" s="269"/>
      <c r="G64" s="240" t="s">
        <v>2039</v>
      </c>
      <c r="H64" s="33" t="str">
        <f t="shared" si="0"/>
        <v/>
      </c>
      <c r="I64" s="396">
        <v>386.4</v>
      </c>
      <c r="J64" s="396"/>
      <c r="K64" s="396"/>
      <c r="L64" s="396">
        <f t="shared" si="4"/>
        <v>386.4</v>
      </c>
      <c r="M64" s="43">
        <f t="shared" si="2"/>
        <v>4896.8199999999879</v>
      </c>
      <c r="U64"/>
    </row>
    <row r="65" spans="1:21" x14ac:dyDescent="0.3">
      <c r="A65" s="12"/>
      <c r="B65" s="360">
        <v>44940</v>
      </c>
      <c r="C65" s="105" t="s">
        <v>482</v>
      </c>
      <c r="D65" s="4" t="s">
        <v>1449</v>
      </c>
      <c r="E65" s="133" t="s">
        <v>36</v>
      </c>
      <c r="F65" s="269"/>
      <c r="G65" s="240" t="s">
        <v>2039</v>
      </c>
      <c r="H65" s="33" t="str">
        <f t="shared" si="0"/>
        <v/>
      </c>
      <c r="I65" s="399">
        <v>327.60000000000002</v>
      </c>
      <c r="J65" s="396"/>
      <c r="K65" s="396"/>
      <c r="L65" s="396">
        <f t="shared" si="4"/>
        <v>327.60000000000002</v>
      </c>
      <c r="M65" s="43">
        <f t="shared" si="2"/>
        <v>5224.4199999999882</v>
      </c>
      <c r="U65"/>
    </row>
    <row r="66" spans="1:21" x14ac:dyDescent="0.3">
      <c r="A66" s="411" t="s">
        <v>2269</v>
      </c>
      <c r="B66" s="360">
        <v>44940</v>
      </c>
      <c r="C66" s="105" t="s">
        <v>482</v>
      </c>
      <c r="D66" s="4" t="s">
        <v>268</v>
      </c>
      <c r="E66" s="133" t="s">
        <v>621</v>
      </c>
      <c r="F66" s="269" t="s">
        <v>2126</v>
      </c>
      <c r="G66" s="240" t="s">
        <v>2039</v>
      </c>
      <c r="H66" s="33" t="str">
        <f t="shared" si="0"/>
        <v>2023 01 07</v>
      </c>
      <c r="I66" s="396"/>
      <c r="J66" s="396"/>
      <c r="K66" s="396">
        <v>-68.599999999999994</v>
      </c>
      <c r="L66" s="396">
        <f t="shared" si="4"/>
        <v>-68.599999999999994</v>
      </c>
      <c r="M66" s="43">
        <f t="shared" si="2"/>
        <v>5155.8199999999879</v>
      </c>
      <c r="U66"/>
    </row>
    <row r="67" spans="1:21" x14ac:dyDescent="0.3">
      <c r="A67" s="411" t="s">
        <v>2267</v>
      </c>
      <c r="B67" s="360">
        <v>44940</v>
      </c>
      <c r="C67" s="105" t="s">
        <v>482</v>
      </c>
      <c r="D67" s="11" t="s">
        <v>1845</v>
      </c>
      <c r="E67" s="133" t="s">
        <v>621</v>
      </c>
      <c r="F67" s="269" t="s">
        <v>2127</v>
      </c>
      <c r="G67" s="240" t="s">
        <v>2039</v>
      </c>
      <c r="H67" s="33" t="str">
        <f t="shared" si="0"/>
        <v>2023 01 08</v>
      </c>
      <c r="I67" s="396"/>
      <c r="J67" s="396"/>
      <c r="K67" s="396">
        <v>-36.200000000000003</v>
      </c>
      <c r="L67" s="396">
        <f t="shared" si="4"/>
        <v>-36.200000000000003</v>
      </c>
      <c r="M67" s="43">
        <f t="shared" si="2"/>
        <v>5119.6199999999881</v>
      </c>
      <c r="U67"/>
    </row>
    <row r="68" spans="1:21" x14ac:dyDescent="0.3">
      <c r="A68" s="12"/>
      <c r="B68" s="360">
        <v>44941</v>
      </c>
      <c r="C68" s="105" t="s">
        <v>482</v>
      </c>
      <c r="D68" s="4" t="s">
        <v>743</v>
      </c>
      <c r="E68" s="133" t="s">
        <v>36</v>
      </c>
      <c r="F68" s="269" t="s">
        <v>2128</v>
      </c>
      <c r="G68" s="240" t="s">
        <v>2039</v>
      </c>
      <c r="H68" s="33" t="str">
        <f t="shared" si="0"/>
        <v/>
      </c>
      <c r="I68" s="396"/>
      <c r="J68" s="396"/>
      <c r="K68" s="396">
        <v>-35.700000000000003</v>
      </c>
      <c r="L68" s="396">
        <f t="shared" si="4"/>
        <v>-35.700000000000003</v>
      </c>
      <c r="M68" s="43">
        <f t="shared" si="2"/>
        <v>5083.9199999999882</v>
      </c>
      <c r="U68"/>
    </row>
    <row r="69" spans="1:21" x14ac:dyDescent="0.3">
      <c r="A69" s="12"/>
      <c r="B69" s="360">
        <v>44940</v>
      </c>
      <c r="C69" s="105" t="s">
        <v>482</v>
      </c>
      <c r="D69" s="4" t="s">
        <v>2129</v>
      </c>
      <c r="E69" s="133" t="s">
        <v>36</v>
      </c>
      <c r="F69" s="269" t="s">
        <v>165</v>
      </c>
      <c r="G69" s="240" t="s">
        <v>2039</v>
      </c>
      <c r="H69" s="33" t="str">
        <f t="shared" si="0"/>
        <v/>
      </c>
      <c r="I69" s="396">
        <v>132</v>
      </c>
      <c r="J69" s="396"/>
      <c r="K69" s="396"/>
      <c r="L69" s="396">
        <f t="shared" si="4"/>
        <v>132</v>
      </c>
      <c r="M69" s="43">
        <f t="shared" si="2"/>
        <v>5215.9199999999882</v>
      </c>
      <c r="U69"/>
    </row>
    <row r="70" spans="1:21" x14ac:dyDescent="0.3">
      <c r="A70" s="411" t="s">
        <v>2270</v>
      </c>
      <c r="B70" s="360">
        <v>44940</v>
      </c>
      <c r="C70" s="105" t="s">
        <v>482</v>
      </c>
      <c r="D70" s="4" t="s">
        <v>1936</v>
      </c>
      <c r="E70" s="133" t="s">
        <v>40</v>
      </c>
      <c r="F70" s="269" t="s">
        <v>2130</v>
      </c>
      <c r="G70" s="240" t="s">
        <v>2039</v>
      </c>
      <c r="H70" s="33" t="str">
        <f t="shared" si="0"/>
        <v>2023 01 09</v>
      </c>
      <c r="I70" s="396"/>
      <c r="J70" s="396"/>
      <c r="K70" s="396">
        <v>-546</v>
      </c>
      <c r="L70" s="396">
        <f t="shared" si="4"/>
        <v>-546</v>
      </c>
      <c r="M70" s="396">
        <f>+M69+L70</f>
        <v>4669.9199999999882</v>
      </c>
      <c r="U70"/>
    </row>
    <row r="71" spans="1:21" x14ac:dyDescent="0.3">
      <c r="A71" s="12"/>
      <c r="B71" s="360">
        <v>44942</v>
      </c>
      <c r="C71" s="105" t="s">
        <v>482</v>
      </c>
      <c r="D71" s="4" t="s">
        <v>2131</v>
      </c>
      <c r="E71" s="133" t="s">
        <v>37</v>
      </c>
      <c r="F71" s="269" t="s">
        <v>2132</v>
      </c>
      <c r="G71" s="240" t="s">
        <v>2039</v>
      </c>
      <c r="H71" s="33" t="str">
        <f t="shared" si="0"/>
        <v/>
      </c>
      <c r="I71" s="396">
        <v>28</v>
      </c>
      <c r="J71" s="396"/>
      <c r="K71" s="396"/>
      <c r="L71" s="396">
        <f t="shared" si="4"/>
        <v>28</v>
      </c>
      <c r="M71" s="396">
        <f>+M70+L71</f>
        <v>4697.9199999999882</v>
      </c>
      <c r="U71"/>
    </row>
    <row r="72" spans="1:21" x14ac:dyDescent="0.3">
      <c r="A72" s="12"/>
      <c r="B72" s="360">
        <v>44942</v>
      </c>
      <c r="C72" s="105" t="s">
        <v>482</v>
      </c>
      <c r="D72" s="4" t="s">
        <v>2133</v>
      </c>
      <c r="E72" s="133" t="s">
        <v>36</v>
      </c>
      <c r="F72" s="269" t="s">
        <v>2134</v>
      </c>
      <c r="G72" s="240" t="s">
        <v>2039</v>
      </c>
      <c r="H72" s="33" t="str">
        <f t="shared" si="0"/>
        <v/>
      </c>
      <c r="I72" s="396">
        <v>940.8</v>
      </c>
      <c r="J72" s="396"/>
      <c r="K72" s="396"/>
      <c r="L72" s="396">
        <f t="shared" si="4"/>
        <v>940.8</v>
      </c>
      <c r="M72" s="396">
        <f>+M71+L72</f>
        <v>5638.7199999999884</v>
      </c>
      <c r="U72"/>
    </row>
    <row r="73" spans="1:21" x14ac:dyDescent="0.3">
      <c r="A73" s="12"/>
      <c r="B73" s="360">
        <v>44943</v>
      </c>
      <c r="C73" s="105" t="s">
        <v>482</v>
      </c>
      <c r="D73" s="4" t="s">
        <v>2135</v>
      </c>
      <c r="E73" s="133" t="s">
        <v>500</v>
      </c>
      <c r="F73" s="269"/>
      <c r="G73" s="240" t="s">
        <v>2039</v>
      </c>
      <c r="H73" s="33" t="str">
        <f t="shared" si="0"/>
        <v/>
      </c>
      <c r="I73" s="396">
        <v>50</v>
      </c>
      <c r="J73" s="396"/>
      <c r="K73" s="396"/>
      <c r="L73" s="396">
        <f t="shared" ref="L73:L127" si="5">I73+K73</f>
        <v>50</v>
      </c>
      <c r="M73" s="396">
        <f t="shared" ref="M73:M81" si="6">+M72+L73</f>
        <v>5688.7199999999884</v>
      </c>
      <c r="U73"/>
    </row>
    <row r="74" spans="1:21" x14ac:dyDescent="0.3">
      <c r="A74" s="12"/>
      <c r="B74" s="360">
        <v>44943</v>
      </c>
      <c r="C74" s="105" t="s">
        <v>482</v>
      </c>
      <c r="D74" s="4" t="s">
        <v>2135</v>
      </c>
      <c r="E74" s="133" t="s">
        <v>37</v>
      </c>
      <c r="F74" s="269"/>
      <c r="G74" s="240" t="s">
        <v>2039</v>
      </c>
      <c r="H74" s="33" t="str">
        <f t="shared" si="0"/>
        <v/>
      </c>
      <c r="I74" s="396">
        <f>134-I73</f>
        <v>84</v>
      </c>
      <c r="J74" s="396"/>
      <c r="K74" s="396"/>
      <c r="L74" s="396">
        <f t="shared" si="5"/>
        <v>84</v>
      </c>
      <c r="M74" s="396">
        <f t="shared" si="6"/>
        <v>5772.7199999999884</v>
      </c>
      <c r="U74"/>
    </row>
    <row r="75" spans="1:21" x14ac:dyDescent="0.3">
      <c r="A75" s="12"/>
      <c r="B75" s="360">
        <v>44943</v>
      </c>
      <c r="C75" s="105" t="s">
        <v>482</v>
      </c>
      <c r="D75" s="4" t="s">
        <v>907</v>
      </c>
      <c r="E75" s="133" t="s">
        <v>2116</v>
      </c>
      <c r="F75" s="269" t="s">
        <v>2138</v>
      </c>
      <c r="G75" s="240" t="s">
        <v>2039</v>
      </c>
      <c r="H75" s="33" t="str">
        <f t="shared" si="0"/>
        <v/>
      </c>
      <c r="I75" s="396"/>
      <c r="J75" s="396"/>
      <c r="K75" s="396">
        <v>-50</v>
      </c>
      <c r="L75" s="396">
        <f t="shared" si="5"/>
        <v>-50</v>
      </c>
      <c r="M75" s="396">
        <f t="shared" si="6"/>
        <v>5722.7199999999884</v>
      </c>
      <c r="U75"/>
    </row>
    <row r="76" spans="1:21" x14ac:dyDescent="0.3">
      <c r="A76" s="12"/>
      <c r="B76" s="360">
        <v>44944</v>
      </c>
      <c r="C76" s="105" t="s">
        <v>482</v>
      </c>
      <c r="D76" s="4" t="s">
        <v>949</v>
      </c>
      <c r="E76" s="133" t="s">
        <v>622</v>
      </c>
      <c r="F76" s="269"/>
      <c r="G76" s="240" t="s">
        <v>2039</v>
      </c>
      <c r="H76" s="33" t="str">
        <f t="shared" si="0"/>
        <v/>
      </c>
      <c r="I76" s="396">
        <v>30</v>
      </c>
      <c r="J76" s="396"/>
      <c r="K76" s="396"/>
      <c r="L76" s="396">
        <f t="shared" si="5"/>
        <v>30</v>
      </c>
      <c r="M76" s="396">
        <f t="shared" si="6"/>
        <v>5752.7199999999884</v>
      </c>
      <c r="U76"/>
    </row>
    <row r="77" spans="1:21" x14ac:dyDescent="0.3">
      <c r="A77" s="12"/>
      <c r="B77" s="360">
        <v>44944</v>
      </c>
      <c r="C77" s="105" t="s">
        <v>482</v>
      </c>
      <c r="D77" s="4" t="s">
        <v>2139</v>
      </c>
      <c r="E77" s="133" t="s">
        <v>500</v>
      </c>
      <c r="F77" s="269" t="s">
        <v>2154</v>
      </c>
      <c r="G77" s="240" t="s">
        <v>2039</v>
      </c>
      <c r="H77" s="33" t="str">
        <f t="shared" si="0"/>
        <v/>
      </c>
      <c r="I77" s="396">
        <v>50</v>
      </c>
      <c r="J77" s="396"/>
      <c r="K77" s="396"/>
      <c r="L77" s="396">
        <f t="shared" si="5"/>
        <v>50</v>
      </c>
      <c r="M77" s="396">
        <f t="shared" si="6"/>
        <v>5802.7199999999884</v>
      </c>
      <c r="U77"/>
    </row>
    <row r="78" spans="1:21" x14ac:dyDescent="0.3">
      <c r="A78" s="12"/>
      <c r="B78" s="360">
        <v>44944</v>
      </c>
      <c r="C78" s="105" t="s">
        <v>482</v>
      </c>
      <c r="D78" s="4" t="s">
        <v>2139</v>
      </c>
      <c r="E78" s="133" t="s">
        <v>37</v>
      </c>
      <c r="F78" s="269" t="s">
        <v>2154</v>
      </c>
      <c r="G78" s="240" t="s">
        <v>2039</v>
      </c>
      <c r="H78" s="33" t="str">
        <f t="shared" si="0"/>
        <v/>
      </c>
      <c r="I78" s="396">
        <v>84</v>
      </c>
      <c r="J78" s="396"/>
      <c r="K78" s="396"/>
      <c r="L78" s="396">
        <f t="shared" si="5"/>
        <v>84</v>
      </c>
      <c r="M78" s="396">
        <f t="shared" si="6"/>
        <v>5886.7199999999884</v>
      </c>
      <c r="U78"/>
    </row>
    <row r="79" spans="1:21" x14ac:dyDescent="0.3">
      <c r="A79" s="12"/>
      <c r="B79" s="360">
        <v>44943</v>
      </c>
      <c r="C79" s="105" t="s">
        <v>482</v>
      </c>
      <c r="D79" s="4" t="s">
        <v>2140</v>
      </c>
      <c r="E79" s="133" t="s">
        <v>37</v>
      </c>
      <c r="F79" s="269" t="s">
        <v>2155</v>
      </c>
      <c r="G79" s="240" t="s">
        <v>2039</v>
      </c>
      <c r="H79" s="33" t="str">
        <f t="shared" si="0"/>
        <v/>
      </c>
      <c r="I79" s="396">
        <v>63</v>
      </c>
      <c r="J79" s="396"/>
      <c r="K79" s="396"/>
      <c r="L79" s="396">
        <f t="shared" si="5"/>
        <v>63</v>
      </c>
      <c r="M79" s="396">
        <f t="shared" si="6"/>
        <v>5949.7199999999884</v>
      </c>
      <c r="U79"/>
    </row>
    <row r="80" spans="1:21" x14ac:dyDescent="0.3">
      <c r="A80" s="12"/>
      <c r="B80" s="360">
        <v>44943</v>
      </c>
      <c r="C80" s="105" t="s">
        <v>482</v>
      </c>
      <c r="D80" s="4" t="s">
        <v>2141</v>
      </c>
      <c r="E80" s="133" t="s">
        <v>37</v>
      </c>
      <c r="F80" s="269" t="s">
        <v>2142</v>
      </c>
      <c r="G80" s="240" t="s">
        <v>2039</v>
      </c>
      <c r="H80" s="33" t="str">
        <f t="shared" si="0"/>
        <v/>
      </c>
      <c r="I80" s="396">
        <v>77</v>
      </c>
      <c r="J80" s="396"/>
      <c r="K80" s="396"/>
      <c r="L80" s="396">
        <f t="shared" si="5"/>
        <v>77</v>
      </c>
      <c r="M80" s="396">
        <f t="shared" si="6"/>
        <v>6026.7199999999884</v>
      </c>
      <c r="U80"/>
    </row>
    <row r="81" spans="1:21" x14ac:dyDescent="0.3">
      <c r="A81" s="12" t="s">
        <v>2260</v>
      </c>
      <c r="B81" s="360">
        <v>44946</v>
      </c>
      <c r="C81" s="105" t="s">
        <v>482</v>
      </c>
      <c r="D81" s="4" t="s">
        <v>1584</v>
      </c>
      <c r="E81" s="133" t="s">
        <v>621</v>
      </c>
      <c r="F81" s="269" t="s">
        <v>2143</v>
      </c>
      <c r="G81" s="240" t="s">
        <v>2039</v>
      </c>
      <c r="H81" s="33" t="str">
        <f t="shared" si="0"/>
        <v>2023 01 10</v>
      </c>
      <c r="I81" s="396"/>
      <c r="J81" s="396"/>
      <c r="K81" s="396">
        <v>-105</v>
      </c>
      <c r="L81" s="396">
        <f t="shared" si="5"/>
        <v>-105</v>
      </c>
      <c r="M81" s="396">
        <f t="shared" si="6"/>
        <v>5921.7199999999884</v>
      </c>
      <c r="U81"/>
    </row>
    <row r="82" spans="1:21" x14ac:dyDescent="0.3">
      <c r="A82" s="12"/>
      <c r="B82" s="360">
        <v>44946</v>
      </c>
      <c r="C82" s="105" t="s">
        <v>482</v>
      </c>
      <c r="D82" s="4" t="s">
        <v>142</v>
      </c>
      <c r="E82" s="133" t="s">
        <v>36</v>
      </c>
      <c r="F82" s="269" t="s">
        <v>2156</v>
      </c>
      <c r="G82" s="240" t="s">
        <v>2039</v>
      </c>
      <c r="H82" s="33" t="str">
        <f t="shared" si="0"/>
        <v/>
      </c>
      <c r="I82" s="396">
        <v>212.23</v>
      </c>
      <c r="J82" s="396"/>
      <c r="K82" s="396"/>
      <c r="L82" s="396">
        <f>I82+K82</f>
        <v>212.23</v>
      </c>
      <c r="M82" s="396">
        <f t="shared" ref="M82:M122" si="7">+M81+L82</f>
        <v>6133.949999999988</v>
      </c>
      <c r="U82"/>
    </row>
    <row r="83" spans="1:21" x14ac:dyDescent="0.3">
      <c r="A83" s="12" t="s">
        <v>139</v>
      </c>
      <c r="B83" s="360">
        <v>44949</v>
      </c>
      <c r="C83" s="105" t="s">
        <v>482</v>
      </c>
      <c r="D83" s="4" t="s">
        <v>1672</v>
      </c>
      <c r="E83" s="133" t="s">
        <v>11</v>
      </c>
      <c r="F83" s="269"/>
      <c r="G83" s="240" t="s">
        <v>2039</v>
      </c>
      <c r="H83" s="33" t="str">
        <f t="shared" si="0"/>
        <v>2023 01 11</v>
      </c>
      <c r="I83" s="396"/>
      <c r="J83" s="396"/>
      <c r="K83" s="396">
        <v>-123.78</v>
      </c>
      <c r="L83" s="396">
        <f>I83+K83</f>
        <v>-123.78</v>
      </c>
      <c r="M83" s="396">
        <f t="shared" si="7"/>
        <v>6010.1699999999882</v>
      </c>
      <c r="U83"/>
    </row>
    <row r="84" spans="1:21" x14ac:dyDescent="0.3">
      <c r="A84" s="12"/>
      <c r="B84" s="360">
        <v>44946</v>
      </c>
      <c r="C84" s="105" t="s">
        <v>482</v>
      </c>
      <c r="D84" s="4" t="s">
        <v>2147</v>
      </c>
      <c r="E84" s="133" t="s">
        <v>37</v>
      </c>
      <c r="F84" s="269" t="s">
        <v>2146</v>
      </c>
      <c r="G84" s="240" t="s">
        <v>2039</v>
      </c>
      <c r="H84" s="33" t="str">
        <f t="shared" si="0"/>
        <v/>
      </c>
      <c r="I84" s="396">
        <v>24.5</v>
      </c>
      <c r="J84" s="396"/>
      <c r="K84" s="396"/>
      <c r="L84" s="396">
        <f>I84+K84</f>
        <v>24.5</v>
      </c>
      <c r="M84" s="396">
        <f t="shared" si="7"/>
        <v>6034.6699999999882</v>
      </c>
      <c r="U84"/>
    </row>
    <row r="85" spans="1:21" x14ac:dyDescent="0.3">
      <c r="A85" s="12"/>
      <c r="B85" s="360">
        <v>44949</v>
      </c>
      <c r="C85" s="105" t="s">
        <v>482</v>
      </c>
      <c r="D85" s="11" t="s">
        <v>2149</v>
      </c>
      <c r="E85" s="394" t="s">
        <v>2116</v>
      </c>
      <c r="F85" s="269" t="s">
        <v>2145</v>
      </c>
      <c r="G85" s="240" t="s">
        <v>2039</v>
      </c>
      <c r="H85" s="33" t="str">
        <f t="shared" si="0"/>
        <v/>
      </c>
      <c r="I85" s="396"/>
      <c r="J85" s="396"/>
      <c r="K85" s="396">
        <v>-50</v>
      </c>
      <c r="L85" s="396">
        <f t="shared" si="5"/>
        <v>-50</v>
      </c>
      <c r="M85" s="396">
        <f t="shared" si="7"/>
        <v>5984.6699999999882</v>
      </c>
      <c r="U85"/>
    </row>
    <row r="86" spans="1:21" x14ac:dyDescent="0.3">
      <c r="A86" s="12"/>
      <c r="B86" s="360">
        <v>44949</v>
      </c>
      <c r="C86" s="105" t="s">
        <v>482</v>
      </c>
      <c r="D86" s="11" t="s">
        <v>2150</v>
      </c>
      <c r="E86" s="133" t="s">
        <v>36</v>
      </c>
      <c r="F86" s="269" t="s">
        <v>2151</v>
      </c>
      <c r="G86" s="240" t="s">
        <v>2039</v>
      </c>
      <c r="H86" s="33" t="str">
        <f t="shared" si="0"/>
        <v/>
      </c>
      <c r="I86" s="396">
        <v>38</v>
      </c>
      <c r="J86" s="396"/>
      <c r="K86" s="396"/>
      <c r="L86" s="396">
        <f t="shared" si="5"/>
        <v>38</v>
      </c>
      <c r="M86" s="396">
        <f t="shared" si="7"/>
        <v>6022.6699999999882</v>
      </c>
      <c r="U86"/>
    </row>
    <row r="87" spans="1:21" x14ac:dyDescent="0.3">
      <c r="A87" s="12" t="s">
        <v>382</v>
      </c>
      <c r="B87" s="360">
        <v>44957</v>
      </c>
      <c r="C87" s="105" t="s">
        <v>482</v>
      </c>
      <c r="D87" s="11" t="s">
        <v>1544</v>
      </c>
      <c r="E87" s="394" t="s">
        <v>12</v>
      </c>
      <c r="F87" s="269" t="s">
        <v>1009</v>
      </c>
      <c r="G87" s="240" t="s">
        <v>2039</v>
      </c>
      <c r="H87" s="33" t="str">
        <f t="shared" si="0"/>
        <v>2023 01 12</v>
      </c>
      <c r="I87" s="396"/>
      <c r="J87" s="396"/>
      <c r="K87" s="396">
        <v>-400</v>
      </c>
      <c r="L87" s="396">
        <f t="shared" si="5"/>
        <v>-400</v>
      </c>
      <c r="M87" s="396">
        <f t="shared" si="7"/>
        <v>5622.6699999999882</v>
      </c>
      <c r="U87"/>
    </row>
    <row r="88" spans="1:21" ht="13.5" thickBot="1" x14ac:dyDescent="0.35">
      <c r="A88" s="400"/>
      <c r="B88" s="401"/>
      <c r="C88" s="402" t="s">
        <v>2152</v>
      </c>
      <c r="D88" s="403"/>
      <c r="E88" s="404"/>
      <c r="F88" s="405"/>
      <c r="G88" s="406" t="s">
        <v>2039</v>
      </c>
      <c r="H88" s="407" t="str">
        <f t="shared" si="0"/>
        <v/>
      </c>
      <c r="I88" s="408"/>
      <c r="J88" s="408"/>
      <c r="K88" s="408"/>
      <c r="L88" s="408">
        <f t="shared" si="5"/>
        <v>0</v>
      </c>
      <c r="M88" s="408">
        <f t="shared" si="7"/>
        <v>5622.6699999999882</v>
      </c>
      <c r="U88"/>
    </row>
    <row r="89" spans="1:21" ht="13.5" thickTop="1" x14ac:dyDescent="0.3">
      <c r="A89" s="411" t="s">
        <v>2261</v>
      </c>
      <c r="B89" s="360">
        <v>44981</v>
      </c>
      <c r="C89" s="105" t="s">
        <v>483</v>
      </c>
      <c r="D89" s="4" t="s">
        <v>299</v>
      </c>
      <c r="E89" s="132" t="s">
        <v>301</v>
      </c>
      <c r="F89" s="120" t="s">
        <v>1801</v>
      </c>
      <c r="G89" s="240" t="s">
        <v>2039</v>
      </c>
      <c r="H89" s="33" t="str">
        <f>IF(A89&lt;&gt;"","2023 0"&amp;MONTH(B89)&amp;" "&amp;A89,"")</f>
        <v>2023 02 01</v>
      </c>
      <c r="I89" s="399"/>
      <c r="J89" s="399"/>
      <c r="K89" s="399">
        <v>-45.54</v>
      </c>
      <c r="L89" s="396">
        <f t="shared" si="5"/>
        <v>-45.54</v>
      </c>
      <c r="M89" s="396">
        <f t="shared" si="7"/>
        <v>5577.1299999999883</v>
      </c>
      <c r="P89" s="30" t="s">
        <v>2159</v>
      </c>
      <c r="Q89" s="30"/>
      <c r="R89" s="30"/>
      <c r="S89"/>
      <c r="T89"/>
      <c r="U89"/>
    </row>
    <row r="90" spans="1:21" x14ac:dyDescent="0.3">
      <c r="A90" s="411" t="s">
        <v>2262</v>
      </c>
      <c r="B90" s="360">
        <v>44983</v>
      </c>
      <c r="C90" s="105" t="s">
        <v>483</v>
      </c>
      <c r="D90" s="4" t="s">
        <v>607</v>
      </c>
      <c r="E90" s="133" t="s">
        <v>11</v>
      </c>
      <c r="F90" s="120" t="s">
        <v>1802</v>
      </c>
      <c r="G90" s="240" t="s">
        <v>2039</v>
      </c>
      <c r="H90" s="33" t="str">
        <f t="shared" ref="H90:H153" si="8">IF(A90&lt;&gt;"","2023 0"&amp;MONTH(B90)&amp;" "&amp;A90,"")</f>
        <v>2023 02 02</v>
      </c>
      <c r="I90" s="399"/>
      <c r="J90" s="399"/>
      <c r="K90" s="399">
        <v>-24.13</v>
      </c>
      <c r="L90" s="396">
        <f t="shared" si="5"/>
        <v>-24.13</v>
      </c>
      <c r="M90" s="396">
        <f t="shared" si="7"/>
        <v>5552.9999999999882</v>
      </c>
      <c r="P90"/>
      <c r="Q90"/>
      <c r="R90"/>
      <c r="S90"/>
      <c r="T90"/>
      <c r="U90"/>
    </row>
    <row r="91" spans="1:21" x14ac:dyDescent="0.3">
      <c r="A91" s="411" t="s">
        <v>2263</v>
      </c>
      <c r="B91" s="360">
        <v>44975</v>
      </c>
      <c r="C91" s="105" t="s">
        <v>483</v>
      </c>
      <c r="D91" s="4" t="s">
        <v>2046</v>
      </c>
      <c r="E91" s="133" t="s">
        <v>12</v>
      </c>
      <c r="F91" s="269" t="s">
        <v>1802</v>
      </c>
      <c r="G91" s="240" t="s">
        <v>2039</v>
      </c>
      <c r="H91" s="33" t="str">
        <f t="shared" si="8"/>
        <v>2023 02 03</v>
      </c>
      <c r="I91" s="399"/>
      <c r="J91" s="399"/>
      <c r="K91" s="399">
        <v>-48.36</v>
      </c>
      <c r="L91" s="396">
        <f t="shared" si="5"/>
        <v>-48.36</v>
      </c>
      <c r="M91" s="396">
        <f t="shared" si="7"/>
        <v>5504.6399999999885</v>
      </c>
      <c r="P91" t="s">
        <v>584</v>
      </c>
      <c r="Q91"/>
      <c r="R91"/>
      <c r="S91"/>
      <c r="T91"/>
      <c r="U91" s="396">
        <f>6018.91-40.8</f>
        <v>5978.11</v>
      </c>
    </row>
    <row r="92" spans="1:21" x14ac:dyDescent="0.3">
      <c r="A92" s="411" t="s">
        <v>2264</v>
      </c>
      <c r="B92" s="360">
        <v>44964</v>
      </c>
      <c r="C92" s="105" t="s">
        <v>483</v>
      </c>
      <c r="D92" s="4" t="s">
        <v>48</v>
      </c>
      <c r="E92" s="133" t="s">
        <v>12</v>
      </c>
      <c r="F92" s="269" t="s">
        <v>1802</v>
      </c>
      <c r="G92" s="240" t="s">
        <v>2039</v>
      </c>
      <c r="H92" s="33" t="str">
        <f t="shared" si="8"/>
        <v>2023 02 04</v>
      </c>
      <c r="I92" s="399"/>
      <c r="J92" s="399"/>
      <c r="K92" s="399">
        <f>-79.66-27.72</f>
        <v>-107.38</v>
      </c>
      <c r="L92" s="396">
        <f t="shared" si="5"/>
        <v>-107.38</v>
      </c>
      <c r="M92" s="396">
        <f t="shared" si="7"/>
        <v>5397.2599999999884</v>
      </c>
      <c r="P92" t="s">
        <v>586</v>
      </c>
      <c r="Q92"/>
      <c r="R92"/>
      <c r="S92"/>
      <c r="T92"/>
      <c r="U92" s="396"/>
    </row>
    <row r="93" spans="1:21" x14ac:dyDescent="0.3">
      <c r="A93" s="411" t="s">
        <v>2265</v>
      </c>
      <c r="B93" s="360">
        <v>44975</v>
      </c>
      <c r="C93" s="105" t="s">
        <v>483</v>
      </c>
      <c r="D93" s="4" t="s">
        <v>58</v>
      </c>
      <c r="E93" s="133" t="s">
        <v>8</v>
      </c>
      <c r="F93" s="269" t="s">
        <v>747</v>
      </c>
      <c r="G93" s="240" t="s">
        <v>2039</v>
      </c>
      <c r="H93" s="33" t="str">
        <f t="shared" si="8"/>
        <v>2023 02 05</v>
      </c>
      <c r="I93" s="399"/>
      <c r="J93" s="399"/>
      <c r="K93" s="399">
        <v>-302.13</v>
      </c>
      <c r="L93" s="396">
        <f t="shared" si="5"/>
        <v>-302.13</v>
      </c>
      <c r="M93" s="396">
        <f t="shared" si="7"/>
        <v>5095.1299999999883</v>
      </c>
      <c r="P93"/>
      <c r="Q93"/>
      <c r="R93"/>
      <c r="S93"/>
      <c r="T93"/>
      <c r="U93" s="396"/>
    </row>
    <row r="94" spans="1:21" x14ac:dyDescent="0.3">
      <c r="A94" s="411" t="s">
        <v>2266</v>
      </c>
      <c r="B94" s="360">
        <v>44978</v>
      </c>
      <c r="C94" s="105" t="s">
        <v>483</v>
      </c>
      <c r="D94" s="4" t="s">
        <v>58</v>
      </c>
      <c r="E94" s="133" t="s">
        <v>9</v>
      </c>
      <c r="F94" s="269" t="s">
        <v>747</v>
      </c>
      <c r="G94" s="240" t="s">
        <v>2039</v>
      </c>
      <c r="H94" s="33" t="str">
        <f t="shared" si="8"/>
        <v>2023 02 06</v>
      </c>
      <c r="I94" s="399"/>
      <c r="J94" s="399"/>
      <c r="K94" s="399">
        <v>-251.73</v>
      </c>
      <c r="L94" s="396">
        <f t="shared" si="5"/>
        <v>-251.73</v>
      </c>
      <c r="M94" s="396">
        <f t="shared" si="7"/>
        <v>4843.3999999999887</v>
      </c>
      <c r="P94" s="15"/>
      <c r="Q94"/>
      <c r="R94"/>
      <c r="S94" s="396"/>
      <c r="T94"/>
      <c r="U94" s="396"/>
    </row>
    <row r="95" spans="1:21" x14ac:dyDescent="0.3">
      <c r="A95" s="12"/>
      <c r="B95" s="360">
        <v>44959</v>
      </c>
      <c r="C95" s="105" t="s">
        <v>483</v>
      </c>
      <c r="D95" s="11" t="s">
        <v>178</v>
      </c>
      <c r="E95" s="394" t="s">
        <v>36</v>
      </c>
      <c r="F95" s="269" t="s">
        <v>2158</v>
      </c>
      <c r="G95" s="240" t="s">
        <v>2039</v>
      </c>
      <c r="H95" s="33" t="str">
        <f t="shared" si="8"/>
        <v/>
      </c>
      <c r="I95" s="399">
        <v>677.25</v>
      </c>
      <c r="J95" s="399"/>
      <c r="K95" s="399"/>
      <c r="L95" s="396">
        <f t="shared" si="5"/>
        <v>677.25</v>
      </c>
      <c r="M95" s="396">
        <f t="shared" si="7"/>
        <v>5520.6499999999887</v>
      </c>
      <c r="P95" s="15" t="s">
        <v>2161</v>
      </c>
      <c r="Q95"/>
      <c r="R95"/>
      <c r="S95" s="396">
        <v>123.78</v>
      </c>
      <c r="T95"/>
      <c r="U95" s="396"/>
    </row>
    <row r="96" spans="1:21" x14ac:dyDescent="0.3">
      <c r="A96" s="12"/>
      <c r="B96" s="360">
        <v>44958</v>
      </c>
      <c r="C96" s="105" t="s">
        <v>483</v>
      </c>
      <c r="D96" s="11" t="s">
        <v>670</v>
      </c>
      <c r="E96" s="394" t="s">
        <v>36</v>
      </c>
      <c r="F96" s="269" t="s">
        <v>1934</v>
      </c>
      <c r="G96" s="240" t="s">
        <v>2039</v>
      </c>
      <c r="H96" s="33" t="str">
        <f t="shared" si="8"/>
        <v/>
      </c>
      <c r="I96" s="399">
        <v>63</v>
      </c>
      <c r="J96" s="399"/>
      <c r="K96" s="399"/>
      <c r="L96" s="396">
        <f t="shared" si="5"/>
        <v>63</v>
      </c>
      <c r="M96" s="396">
        <f t="shared" si="7"/>
        <v>5583.6499999999887</v>
      </c>
      <c r="P96" s="15" t="s">
        <v>2124</v>
      </c>
      <c r="Q96"/>
      <c r="R96"/>
      <c r="S96" s="396">
        <v>-222</v>
      </c>
      <c r="T96"/>
      <c r="U96" s="396"/>
    </row>
    <row r="97" spans="1:21" x14ac:dyDescent="0.3">
      <c r="A97" s="12"/>
      <c r="B97" s="360">
        <v>44958</v>
      </c>
      <c r="C97" s="105" t="s">
        <v>483</v>
      </c>
      <c r="D97" s="11" t="s">
        <v>1870</v>
      </c>
      <c r="E97" s="394" t="s">
        <v>36</v>
      </c>
      <c r="F97" s="269" t="s">
        <v>1934</v>
      </c>
      <c r="G97" s="240" t="s">
        <v>2039</v>
      </c>
      <c r="H97" s="33" t="str">
        <f t="shared" si="8"/>
        <v/>
      </c>
      <c r="I97" s="399">
        <v>40.799999999999997</v>
      </c>
      <c r="J97" s="399"/>
      <c r="K97" s="399"/>
      <c r="L97" s="396">
        <f t="shared" si="5"/>
        <v>40.799999999999997</v>
      </c>
      <c r="M97" s="396">
        <f t="shared" si="7"/>
        <v>5624.4499999999889</v>
      </c>
      <c r="P97" s="11"/>
      <c r="Q97"/>
      <c r="R97"/>
      <c r="S97" s="396"/>
      <c r="T97"/>
      <c r="U97" s="396"/>
    </row>
    <row r="98" spans="1:21" x14ac:dyDescent="0.3">
      <c r="A98" s="12"/>
      <c r="B98" s="360">
        <v>44963</v>
      </c>
      <c r="C98" s="105" t="s">
        <v>483</v>
      </c>
      <c r="D98" s="11" t="s">
        <v>2163</v>
      </c>
      <c r="E98" s="394" t="s">
        <v>37</v>
      </c>
      <c r="F98" s="269" t="s">
        <v>2162</v>
      </c>
      <c r="G98" s="240" t="s">
        <v>2039</v>
      </c>
      <c r="H98" s="33" t="str">
        <f t="shared" si="8"/>
        <v/>
      </c>
      <c r="I98" s="399">
        <f>134-I99</f>
        <v>56</v>
      </c>
      <c r="J98" s="399"/>
      <c r="K98" s="399"/>
      <c r="L98" s="396">
        <f t="shared" si="5"/>
        <v>56</v>
      </c>
      <c r="M98" s="396">
        <f t="shared" si="7"/>
        <v>5680.4499999999889</v>
      </c>
      <c r="P98" s="4"/>
      <c r="Q98"/>
      <c r="R98"/>
      <c r="S98" s="396"/>
      <c r="T98"/>
      <c r="U98" s="396"/>
    </row>
    <row r="99" spans="1:21" x14ac:dyDescent="0.3">
      <c r="A99" s="12"/>
      <c r="B99" s="360">
        <v>44963</v>
      </c>
      <c r="C99" s="105" t="s">
        <v>483</v>
      </c>
      <c r="D99" s="11" t="s">
        <v>2163</v>
      </c>
      <c r="E99" s="394" t="s">
        <v>500</v>
      </c>
      <c r="F99" s="269" t="s">
        <v>2162</v>
      </c>
      <c r="G99" s="240" t="s">
        <v>2039</v>
      </c>
      <c r="H99" s="33" t="str">
        <f t="shared" si="8"/>
        <v/>
      </c>
      <c r="I99" s="399">
        <v>78</v>
      </c>
      <c r="J99" s="399"/>
      <c r="K99" s="399"/>
      <c r="L99" s="396">
        <f t="shared" si="5"/>
        <v>78</v>
      </c>
      <c r="M99" s="396">
        <f t="shared" si="7"/>
        <v>5758.4499999999889</v>
      </c>
      <c r="P99" s="11"/>
      <c r="S99" s="396"/>
      <c r="T99"/>
      <c r="U99" s="396"/>
    </row>
    <row r="100" spans="1:21" x14ac:dyDescent="0.3">
      <c r="A100" s="12"/>
      <c r="B100" s="360">
        <v>44964</v>
      </c>
      <c r="C100" s="105" t="s">
        <v>483</v>
      </c>
      <c r="D100" s="11" t="s">
        <v>2165</v>
      </c>
      <c r="E100" s="394" t="s">
        <v>500</v>
      </c>
      <c r="F100" s="269" t="s">
        <v>2164</v>
      </c>
      <c r="G100" s="240" t="s">
        <v>2039</v>
      </c>
      <c r="H100" s="33" t="str">
        <f t="shared" si="8"/>
        <v/>
      </c>
      <c r="I100" s="399">
        <v>150</v>
      </c>
      <c r="J100" s="399"/>
      <c r="K100" s="399"/>
      <c r="L100" s="396">
        <f t="shared" si="5"/>
        <v>150</v>
      </c>
      <c r="M100" s="396">
        <f t="shared" si="7"/>
        <v>5908.4499999999889</v>
      </c>
      <c r="P100"/>
      <c r="Q100"/>
      <c r="R100"/>
      <c r="S100" s="125"/>
      <c r="T100"/>
      <c r="U100" s="396"/>
    </row>
    <row r="101" spans="1:21" x14ac:dyDescent="0.3">
      <c r="A101" s="12"/>
      <c r="B101" s="360">
        <v>44965</v>
      </c>
      <c r="C101" s="105" t="s">
        <v>483</v>
      </c>
      <c r="D101" s="11" t="s">
        <v>2166</v>
      </c>
      <c r="E101" s="394" t="s">
        <v>37</v>
      </c>
      <c r="F101" s="269" t="s">
        <v>2146</v>
      </c>
      <c r="G101" s="240" t="s">
        <v>2039</v>
      </c>
      <c r="H101" s="33" t="str">
        <f t="shared" si="8"/>
        <v/>
      </c>
      <c r="I101" s="399">
        <v>49</v>
      </c>
      <c r="J101" s="399"/>
      <c r="K101" s="399"/>
      <c r="L101" s="396">
        <f t="shared" si="5"/>
        <v>49</v>
      </c>
      <c r="M101" s="396">
        <f t="shared" si="7"/>
        <v>5957.4499999999889</v>
      </c>
      <c r="P101"/>
      <c r="Q101"/>
      <c r="R101"/>
      <c r="S101" s="4"/>
      <c r="T101"/>
      <c r="U101" s="396">
        <f>SUM(S92:S100)</f>
        <v>-98.22</v>
      </c>
    </row>
    <row r="102" spans="1:21" x14ac:dyDescent="0.3">
      <c r="A102" s="12"/>
      <c r="B102" s="360">
        <v>44965</v>
      </c>
      <c r="C102" s="105" t="s">
        <v>483</v>
      </c>
      <c r="D102" s="11" t="s">
        <v>2166</v>
      </c>
      <c r="E102" s="394" t="s">
        <v>500</v>
      </c>
      <c r="F102" s="269" t="s">
        <v>2146</v>
      </c>
      <c r="G102" s="240" t="s">
        <v>2039</v>
      </c>
      <c r="H102" s="33" t="str">
        <f t="shared" si="8"/>
        <v/>
      </c>
      <c r="I102" s="399">
        <v>50</v>
      </c>
      <c r="J102" s="399"/>
      <c r="K102" s="399"/>
      <c r="L102" s="396">
        <f t="shared" si="5"/>
        <v>50</v>
      </c>
      <c r="M102" s="396">
        <f t="shared" si="7"/>
        <v>6007.4499999999889</v>
      </c>
      <c r="P102"/>
      <c r="Q102"/>
      <c r="R102"/>
      <c r="S102" s="4"/>
      <c r="T102"/>
      <c r="U102" s="396"/>
    </row>
    <row r="103" spans="1:21" x14ac:dyDescent="0.3">
      <c r="A103" s="12"/>
      <c r="B103" s="360">
        <v>44965</v>
      </c>
      <c r="C103" s="105" t="s">
        <v>483</v>
      </c>
      <c r="D103" s="11" t="s">
        <v>2167</v>
      </c>
      <c r="E103" s="394" t="s">
        <v>37</v>
      </c>
      <c r="F103" s="269"/>
      <c r="G103" s="240" t="s">
        <v>2039</v>
      </c>
      <c r="H103" s="33" t="str">
        <f t="shared" si="8"/>
        <v/>
      </c>
      <c r="I103" s="399">
        <v>84</v>
      </c>
      <c r="J103" s="399"/>
      <c r="K103" s="399"/>
      <c r="L103" s="396">
        <f t="shared" si="5"/>
        <v>84</v>
      </c>
      <c r="M103" s="396">
        <f t="shared" si="7"/>
        <v>6091.4499999999889</v>
      </c>
      <c r="P103"/>
      <c r="Q103"/>
      <c r="R103"/>
      <c r="S103" s="4"/>
      <c r="T103"/>
      <c r="U103" s="397">
        <f>U91+U101</f>
        <v>5879.8899999999994</v>
      </c>
    </row>
    <row r="104" spans="1:21" x14ac:dyDescent="0.3">
      <c r="A104" s="12"/>
      <c r="B104" s="360">
        <v>44965</v>
      </c>
      <c r="C104" s="105" t="s">
        <v>483</v>
      </c>
      <c r="D104" s="11" t="s">
        <v>2167</v>
      </c>
      <c r="E104" s="394" t="s">
        <v>500</v>
      </c>
      <c r="F104" s="269"/>
      <c r="G104" s="240" t="s">
        <v>2039</v>
      </c>
      <c r="H104" s="33" t="str">
        <f t="shared" si="8"/>
        <v/>
      </c>
      <c r="I104" s="399">
        <v>50</v>
      </c>
      <c r="J104" s="399"/>
      <c r="K104" s="399"/>
      <c r="L104" s="396">
        <f t="shared" si="5"/>
        <v>50</v>
      </c>
      <c r="M104" s="396">
        <f t="shared" si="7"/>
        <v>6141.4499999999889</v>
      </c>
      <c r="P104"/>
      <c r="Q104"/>
      <c r="R104"/>
      <c r="S104" s="4"/>
      <c r="T104"/>
      <c r="U104" s="396">
        <f>VLOOKUP("Feb End",C:M,11,FALSE)-U103</f>
        <v>-1.0004441719502211E-11</v>
      </c>
    </row>
    <row r="105" spans="1:21" x14ac:dyDescent="0.3">
      <c r="A105" s="12"/>
      <c r="B105" s="360">
        <v>44967</v>
      </c>
      <c r="C105" s="105" t="s">
        <v>483</v>
      </c>
      <c r="D105" s="11" t="s">
        <v>2174</v>
      </c>
      <c r="E105" s="394" t="s">
        <v>37</v>
      </c>
      <c r="F105" s="269" t="s">
        <v>2187</v>
      </c>
      <c r="G105" s="240" t="s">
        <v>2039</v>
      </c>
      <c r="H105" s="33" t="str">
        <f t="shared" si="8"/>
        <v/>
      </c>
      <c r="I105" s="399">
        <v>34</v>
      </c>
      <c r="J105" s="399"/>
      <c r="K105" s="399"/>
      <c r="L105" s="396">
        <f t="shared" si="5"/>
        <v>34</v>
      </c>
      <c r="M105" s="396">
        <f t="shared" si="7"/>
        <v>6175.4499999999889</v>
      </c>
      <c r="P105"/>
      <c r="Q105"/>
      <c r="R105"/>
      <c r="S105" s="4"/>
      <c r="T105"/>
      <c r="U105" s="11"/>
    </row>
    <row r="106" spans="1:21" x14ac:dyDescent="0.3">
      <c r="A106" s="12"/>
      <c r="B106" s="360">
        <v>44970</v>
      </c>
      <c r="C106" s="105" t="s">
        <v>483</v>
      </c>
      <c r="D106" s="11" t="s">
        <v>2174</v>
      </c>
      <c r="E106" s="394" t="s">
        <v>37</v>
      </c>
      <c r="F106" s="269" t="s">
        <v>2187</v>
      </c>
      <c r="G106" s="240" t="s">
        <v>2039</v>
      </c>
      <c r="H106" s="33" t="str">
        <f t="shared" si="8"/>
        <v/>
      </c>
      <c r="I106" s="399">
        <v>29</v>
      </c>
      <c r="J106" s="399"/>
      <c r="K106" s="399"/>
      <c r="L106" s="396">
        <f t="shared" si="5"/>
        <v>29</v>
      </c>
      <c r="M106" s="396">
        <f t="shared" si="7"/>
        <v>6204.4499999999889</v>
      </c>
      <c r="P106"/>
      <c r="Q106"/>
      <c r="R106"/>
      <c r="S106" s="4"/>
      <c r="T106"/>
      <c r="U106" s="11"/>
    </row>
    <row r="107" spans="1:21" x14ac:dyDescent="0.3">
      <c r="A107" s="12"/>
      <c r="B107" s="360">
        <v>44970</v>
      </c>
      <c r="C107" s="105" t="s">
        <v>483</v>
      </c>
      <c r="D107" s="11" t="s">
        <v>2174</v>
      </c>
      <c r="E107" s="394" t="s">
        <v>500</v>
      </c>
      <c r="F107" s="269" t="s">
        <v>2187</v>
      </c>
      <c r="G107" s="240" t="s">
        <v>2039</v>
      </c>
      <c r="H107" s="33" t="str">
        <f t="shared" si="8"/>
        <v/>
      </c>
      <c r="I107" s="399">
        <v>50</v>
      </c>
      <c r="J107" s="399"/>
      <c r="K107" s="399"/>
      <c r="L107" s="396">
        <f t="shared" ref="L107" si="9">I107+K107</f>
        <v>50</v>
      </c>
      <c r="M107" s="396">
        <f t="shared" si="7"/>
        <v>6254.4499999999889</v>
      </c>
      <c r="P107"/>
      <c r="Q107"/>
      <c r="R107"/>
      <c r="S107" s="4"/>
      <c r="T107"/>
      <c r="U107" s="11"/>
    </row>
    <row r="108" spans="1:21" x14ac:dyDescent="0.3">
      <c r="A108" s="12"/>
      <c r="B108" s="360">
        <v>44970</v>
      </c>
      <c r="C108" s="105" t="s">
        <v>483</v>
      </c>
      <c r="D108" s="11" t="s">
        <v>1044</v>
      </c>
      <c r="E108" s="394" t="s">
        <v>37</v>
      </c>
      <c r="F108" s="269" t="s">
        <v>2168</v>
      </c>
      <c r="G108" s="240" t="s">
        <v>2039</v>
      </c>
      <c r="H108" s="33" t="str">
        <f t="shared" si="8"/>
        <v/>
      </c>
      <c r="I108" s="399">
        <v>30</v>
      </c>
      <c r="J108" s="399"/>
      <c r="K108" s="399"/>
      <c r="L108" s="396">
        <f t="shared" si="5"/>
        <v>30</v>
      </c>
      <c r="M108" s="396">
        <f t="shared" si="7"/>
        <v>6284.4499999999889</v>
      </c>
      <c r="P108"/>
      <c r="Q108"/>
      <c r="R108"/>
      <c r="S108" s="4"/>
      <c r="T108"/>
      <c r="U108" s="11"/>
    </row>
    <row r="109" spans="1:21" x14ac:dyDescent="0.3">
      <c r="A109" s="12"/>
      <c r="B109" s="360">
        <v>44970</v>
      </c>
      <c r="C109" s="105" t="s">
        <v>483</v>
      </c>
      <c r="D109" s="269" t="s">
        <v>2169</v>
      </c>
      <c r="E109" s="394" t="s">
        <v>500</v>
      </c>
      <c r="F109" s="269" t="s">
        <v>1096</v>
      </c>
      <c r="G109" s="240" t="s">
        <v>2039</v>
      </c>
      <c r="H109" s="33" t="str">
        <f t="shared" si="8"/>
        <v/>
      </c>
      <c r="I109" s="399">
        <v>150</v>
      </c>
      <c r="J109" s="399"/>
      <c r="K109" s="399"/>
      <c r="L109" s="396">
        <f t="shared" ref="L109:L123" si="10">I109+K109</f>
        <v>150</v>
      </c>
      <c r="M109" s="396">
        <f t="shared" si="7"/>
        <v>6434.4499999999889</v>
      </c>
      <c r="P109"/>
      <c r="Q109"/>
      <c r="R109"/>
      <c r="S109" s="4"/>
      <c r="T109"/>
      <c r="U109" s="11"/>
    </row>
    <row r="110" spans="1:21" x14ac:dyDescent="0.3">
      <c r="A110" s="12"/>
      <c r="B110" s="360">
        <v>44973</v>
      </c>
      <c r="C110" s="105" t="s">
        <v>483</v>
      </c>
      <c r="D110" s="11" t="s">
        <v>216</v>
      </c>
      <c r="E110" s="394" t="s">
        <v>36</v>
      </c>
      <c r="F110" s="269"/>
      <c r="G110" s="240" t="s">
        <v>2039</v>
      </c>
      <c r="H110" s="33" t="str">
        <f t="shared" si="8"/>
        <v/>
      </c>
      <c r="I110" s="399">
        <v>225.09</v>
      </c>
      <c r="J110" s="399"/>
      <c r="K110" s="399"/>
      <c r="L110" s="396">
        <f t="shared" si="10"/>
        <v>225.09</v>
      </c>
      <c r="M110" s="396">
        <f t="shared" si="7"/>
        <v>6659.539999999989</v>
      </c>
      <c r="P110"/>
      <c r="Q110"/>
      <c r="R110"/>
      <c r="S110" s="4"/>
      <c r="T110"/>
      <c r="U110" s="11"/>
    </row>
    <row r="111" spans="1:21" x14ac:dyDescent="0.3">
      <c r="A111" s="12"/>
      <c r="B111" s="360">
        <v>44975</v>
      </c>
      <c r="C111" s="105" t="s">
        <v>483</v>
      </c>
      <c r="D111" s="11" t="s">
        <v>2170</v>
      </c>
      <c r="E111" s="394" t="s">
        <v>37</v>
      </c>
      <c r="F111" s="269" t="s">
        <v>2199</v>
      </c>
      <c r="G111" s="240" t="s">
        <v>2039</v>
      </c>
      <c r="H111" s="33" t="str">
        <f t="shared" si="8"/>
        <v/>
      </c>
      <c r="I111" s="399">
        <v>21</v>
      </c>
      <c r="J111" s="399"/>
      <c r="K111" s="399"/>
      <c r="L111" s="396">
        <f t="shared" si="10"/>
        <v>21</v>
      </c>
      <c r="M111" s="396">
        <f t="shared" si="7"/>
        <v>6680.539999999989</v>
      </c>
      <c r="P111"/>
      <c r="Q111"/>
      <c r="R111"/>
      <c r="S111" s="4"/>
      <c r="T111"/>
      <c r="U111" s="11"/>
    </row>
    <row r="112" spans="1:21" x14ac:dyDescent="0.3">
      <c r="A112" s="411" t="s">
        <v>2269</v>
      </c>
      <c r="B112" s="360">
        <v>44977</v>
      </c>
      <c r="C112" s="105" t="s">
        <v>483</v>
      </c>
      <c r="D112" s="11" t="s">
        <v>1845</v>
      </c>
      <c r="E112" s="133" t="s">
        <v>621</v>
      </c>
      <c r="F112" s="269" t="s">
        <v>1846</v>
      </c>
      <c r="G112" s="240" t="s">
        <v>2039</v>
      </c>
      <c r="H112" s="33" t="str">
        <f t="shared" si="8"/>
        <v>2023 02 07</v>
      </c>
      <c r="I112" s="399"/>
      <c r="J112" s="399"/>
      <c r="K112" s="399">
        <v>-10</v>
      </c>
      <c r="L112" s="396">
        <f t="shared" si="10"/>
        <v>-10</v>
      </c>
      <c r="M112" s="396">
        <f t="shared" si="7"/>
        <v>6670.539999999989</v>
      </c>
      <c r="P112"/>
      <c r="Q112"/>
      <c r="R112"/>
      <c r="S112" s="4"/>
      <c r="T112"/>
      <c r="U112" s="11"/>
    </row>
    <row r="113" spans="1:21" x14ac:dyDescent="0.3">
      <c r="A113" s="411"/>
      <c r="B113" s="360">
        <v>44977</v>
      </c>
      <c r="C113" s="105" t="s">
        <v>483</v>
      </c>
      <c r="D113" s="11" t="s">
        <v>2093</v>
      </c>
      <c r="E113" s="394" t="s">
        <v>2116</v>
      </c>
      <c r="F113" s="269" t="s">
        <v>2136</v>
      </c>
      <c r="G113" s="240" t="s">
        <v>2039</v>
      </c>
      <c r="H113" s="33" t="str">
        <f t="shared" si="8"/>
        <v/>
      </c>
      <c r="I113" s="399"/>
      <c r="J113" s="399"/>
      <c r="K113" s="399">
        <v>-29</v>
      </c>
      <c r="L113" s="396">
        <f t="shared" si="10"/>
        <v>-29</v>
      </c>
      <c r="M113" s="396">
        <f t="shared" si="7"/>
        <v>6641.539999999989</v>
      </c>
      <c r="P113"/>
      <c r="Q113"/>
      <c r="R113"/>
      <c r="S113" s="4"/>
      <c r="T113"/>
      <c r="U113" s="11"/>
    </row>
    <row r="114" spans="1:21" x14ac:dyDescent="0.3">
      <c r="A114" s="411" t="s">
        <v>2267</v>
      </c>
      <c r="B114" s="360">
        <v>44977</v>
      </c>
      <c r="C114" s="105" t="s">
        <v>483</v>
      </c>
      <c r="D114" s="11" t="s">
        <v>234</v>
      </c>
      <c r="E114" s="394" t="s">
        <v>40</v>
      </c>
      <c r="F114" s="269" t="s">
        <v>1902</v>
      </c>
      <c r="G114" s="240" t="s">
        <v>2039</v>
      </c>
      <c r="H114" s="33" t="str">
        <f t="shared" si="8"/>
        <v>2023 02 08</v>
      </c>
      <c r="I114" s="399"/>
      <c r="J114" s="399"/>
      <c r="K114" s="399">
        <f>-76.66-K115</f>
        <v>-55</v>
      </c>
      <c r="L114" s="396">
        <f t="shared" si="10"/>
        <v>-55</v>
      </c>
      <c r="M114" s="396">
        <f t="shared" si="7"/>
        <v>6586.539999999989</v>
      </c>
      <c r="P114"/>
      <c r="Q114"/>
      <c r="R114"/>
      <c r="S114" s="4"/>
      <c r="T114"/>
      <c r="U114" s="11"/>
    </row>
    <row r="115" spans="1:21" x14ac:dyDescent="0.3">
      <c r="A115" s="411" t="s">
        <v>2270</v>
      </c>
      <c r="B115" s="360">
        <v>44977</v>
      </c>
      <c r="C115" s="105" t="s">
        <v>483</v>
      </c>
      <c r="D115" s="11" t="s">
        <v>234</v>
      </c>
      <c r="E115" s="394" t="s">
        <v>12</v>
      </c>
      <c r="F115" s="269" t="s">
        <v>2175</v>
      </c>
      <c r="G115" s="240" t="s">
        <v>2039</v>
      </c>
      <c r="H115" s="33" t="str">
        <f t="shared" si="8"/>
        <v>2023 02 09</v>
      </c>
      <c r="I115" s="399"/>
      <c r="J115" s="399"/>
      <c r="K115" s="399">
        <v>-21.66</v>
      </c>
      <c r="L115" s="396">
        <f t="shared" si="10"/>
        <v>-21.66</v>
      </c>
      <c r="M115" s="396">
        <f t="shared" si="7"/>
        <v>6564.8799999999892</v>
      </c>
      <c r="P115"/>
      <c r="Q115"/>
      <c r="R115"/>
      <c r="S115" s="4"/>
      <c r="T115"/>
      <c r="U115" s="11"/>
    </row>
    <row r="116" spans="1:21" x14ac:dyDescent="0.3">
      <c r="A116" s="411" t="s">
        <v>2260</v>
      </c>
      <c r="B116" s="360">
        <v>44977</v>
      </c>
      <c r="C116" s="105" t="s">
        <v>483</v>
      </c>
      <c r="D116" s="11" t="s">
        <v>2124</v>
      </c>
      <c r="E116" s="394" t="s">
        <v>40</v>
      </c>
      <c r="F116" s="269"/>
      <c r="G116" s="240" t="s">
        <v>2039</v>
      </c>
      <c r="H116" s="33" t="str">
        <f t="shared" si="8"/>
        <v>2023 02 10</v>
      </c>
      <c r="I116" s="399"/>
      <c r="J116" s="399"/>
      <c r="K116" s="399">
        <v>-126</v>
      </c>
      <c r="L116" s="396">
        <f t="shared" si="10"/>
        <v>-126</v>
      </c>
      <c r="M116" s="396">
        <f t="shared" si="7"/>
        <v>6438.8799999999892</v>
      </c>
      <c r="P116"/>
      <c r="Q116"/>
      <c r="R116"/>
      <c r="S116" s="4"/>
      <c r="T116"/>
      <c r="U116" s="11"/>
    </row>
    <row r="117" spans="1:21" x14ac:dyDescent="0.3">
      <c r="A117" s="12"/>
      <c r="B117" s="360">
        <v>44977</v>
      </c>
      <c r="C117" s="105" t="s">
        <v>483</v>
      </c>
      <c r="D117" s="11" t="s">
        <v>2176</v>
      </c>
      <c r="E117" s="394" t="s">
        <v>37</v>
      </c>
      <c r="F117" s="269" t="s">
        <v>2184</v>
      </c>
      <c r="G117" s="240" t="s">
        <v>2039</v>
      </c>
      <c r="H117" s="33" t="str">
        <f t="shared" si="8"/>
        <v/>
      </c>
      <c r="I117" s="399">
        <v>12</v>
      </c>
      <c r="J117" s="399"/>
      <c r="K117" s="399"/>
      <c r="L117" s="396">
        <f t="shared" si="10"/>
        <v>12</v>
      </c>
      <c r="M117" s="396">
        <f t="shared" si="7"/>
        <v>6450.8799999999892</v>
      </c>
      <c r="P117"/>
      <c r="Q117"/>
      <c r="R117"/>
      <c r="S117" s="4"/>
      <c r="T117"/>
      <c r="U117" s="11"/>
    </row>
    <row r="118" spans="1:21" x14ac:dyDescent="0.3">
      <c r="A118" s="12" t="s">
        <v>139</v>
      </c>
      <c r="B118" s="360">
        <v>44979</v>
      </c>
      <c r="C118" s="105" t="s">
        <v>483</v>
      </c>
      <c r="D118" s="11" t="s">
        <v>1584</v>
      </c>
      <c r="E118" s="394" t="s">
        <v>40</v>
      </c>
      <c r="F118" s="269" t="s">
        <v>2177</v>
      </c>
      <c r="G118" s="240" t="s">
        <v>2039</v>
      </c>
      <c r="H118" s="33" t="str">
        <f t="shared" si="8"/>
        <v>2023 02 11</v>
      </c>
      <c r="I118" s="399"/>
      <c r="J118" s="399"/>
      <c r="K118" s="399">
        <v>-42.99</v>
      </c>
      <c r="L118" s="396">
        <f t="shared" si="10"/>
        <v>-42.99</v>
      </c>
      <c r="M118" s="396">
        <f t="shared" si="7"/>
        <v>6407.8899999999894</v>
      </c>
      <c r="P118"/>
      <c r="Q118"/>
      <c r="R118"/>
      <c r="S118" s="4"/>
      <c r="T118"/>
      <c r="U118" s="11"/>
    </row>
    <row r="119" spans="1:21" x14ac:dyDescent="0.3">
      <c r="A119" s="12"/>
      <c r="B119" s="360">
        <v>44979</v>
      </c>
      <c r="C119" s="105" t="s">
        <v>483</v>
      </c>
      <c r="D119" s="11" t="s">
        <v>2139</v>
      </c>
      <c r="E119" s="394" t="s">
        <v>2116</v>
      </c>
      <c r="F119" s="269" t="s">
        <v>2154</v>
      </c>
      <c r="G119" s="240" t="s">
        <v>2039</v>
      </c>
      <c r="H119" s="33" t="str">
        <f t="shared" si="8"/>
        <v/>
      </c>
      <c r="I119" s="399"/>
      <c r="J119" s="399"/>
      <c r="K119" s="399">
        <v>-50</v>
      </c>
      <c r="L119" s="396">
        <f t="shared" si="10"/>
        <v>-50</v>
      </c>
      <c r="M119" s="396">
        <f t="shared" si="7"/>
        <v>6357.8899999999894</v>
      </c>
      <c r="P119"/>
      <c r="Q119"/>
      <c r="R119"/>
      <c r="S119" s="4"/>
      <c r="T119"/>
      <c r="U119" s="11"/>
    </row>
    <row r="120" spans="1:21" x14ac:dyDescent="0.3">
      <c r="A120" s="12"/>
      <c r="B120" s="360">
        <v>44982</v>
      </c>
      <c r="C120" s="105" t="s">
        <v>483</v>
      </c>
      <c r="D120" s="11" t="s">
        <v>1296</v>
      </c>
      <c r="E120" s="394" t="s">
        <v>37</v>
      </c>
      <c r="F120" s="269" t="s">
        <v>2122</v>
      </c>
      <c r="G120" s="240" t="s">
        <v>2039</v>
      </c>
      <c r="H120" s="33" t="str">
        <f t="shared" si="8"/>
        <v/>
      </c>
      <c r="I120" s="399">
        <v>52</v>
      </c>
      <c r="J120" s="399"/>
      <c r="K120" s="399"/>
      <c r="L120" s="396">
        <f t="shared" si="10"/>
        <v>52</v>
      </c>
      <c r="M120" s="396">
        <f t="shared" si="7"/>
        <v>6409.8899999999894</v>
      </c>
      <c r="P120"/>
      <c r="Q120"/>
      <c r="R120"/>
      <c r="S120" s="4"/>
      <c r="T120"/>
      <c r="U120" s="11"/>
    </row>
    <row r="121" spans="1:21" x14ac:dyDescent="0.3">
      <c r="A121" s="12"/>
      <c r="B121" s="360">
        <v>44982</v>
      </c>
      <c r="C121" s="105" t="s">
        <v>483</v>
      </c>
      <c r="D121" s="11" t="s">
        <v>1296</v>
      </c>
      <c r="E121" s="394" t="s">
        <v>37</v>
      </c>
      <c r="F121" s="269" t="s">
        <v>2122</v>
      </c>
      <c r="G121" s="240" t="s">
        <v>2039</v>
      </c>
      <c r="H121" s="33" t="str">
        <f t="shared" si="8"/>
        <v/>
      </c>
      <c r="I121" s="399">
        <v>2</v>
      </c>
      <c r="J121" s="399"/>
      <c r="K121" s="399"/>
      <c r="L121" s="396">
        <f t="shared" si="10"/>
        <v>2</v>
      </c>
      <c r="M121" s="396">
        <f t="shared" si="7"/>
        <v>6411.8899999999894</v>
      </c>
      <c r="P121"/>
      <c r="Q121"/>
      <c r="R121"/>
      <c r="S121" s="4"/>
      <c r="T121"/>
      <c r="U121" s="11"/>
    </row>
    <row r="122" spans="1:21" x14ac:dyDescent="0.3">
      <c r="A122" s="12"/>
      <c r="B122" s="360">
        <v>44982</v>
      </c>
      <c r="C122" s="105" t="s">
        <v>483</v>
      </c>
      <c r="D122" s="11" t="s">
        <v>1296</v>
      </c>
      <c r="E122" s="394" t="s">
        <v>500</v>
      </c>
      <c r="F122" s="269" t="s">
        <v>2122</v>
      </c>
      <c r="G122" s="240" t="s">
        <v>2039</v>
      </c>
      <c r="H122" s="33" t="str">
        <f t="shared" si="8"/>
        <v/>
      </c>
      <c r="I122" s="399">
        <v>50</v>
      </c>
      <c r="J122" s="399"/>
      <c r="K122" s="399"/>
      <c r="L122" s="396">
        <f t="shared" si="10"/>
        <v>50</v>
      </c>
      <c r="M122" s="396">
        <f t="shared" si="7"/>
        <v>6461.8899999999894</v>
      </c>
      <c r="P122"/>
      <c r="Q122"/>
      <c r="R122"/>
      <c r="S122" s="4"/>
      <c r="T122"/>
      <c r="U122" s="11"/>
    </row>
    <row r="123" spans="1:21" x14ac:dyDescent="0.3">
      <c r="A123" s="12" t="s">
        <v>382</v>
      </c>
      <c r="B123" s="360">
        <v>44984</v>
      </c>
      <c r="C123" s="105" t="s">
        <v>483</v>
      </c>
      <c r="D123" s="11" t="s">
        <v>1544</v>
      </c>
      <c r="E123" s="394" t="s">
        <v>12</v>
      </c>
      <c r="F123" s="269" t="s">
        <v>747</v>
      </c>
      <c r="G123" s="240" t="s">
        <v>2039</v>
      </c>
      <c r="H123" s="33" t="str">
        <f t="shared" si="8"/>
        <v>2023 02 12</v>
      </c>
      <c r="I123" s="399"/>
      <c r="J123" s="399"/>
      <c r="K123" s="399">
        <v>-390</v>
      </c>
      <c r="L123" s="396">
        <f t="shared" si="10"/>
        <v>-390</v>
      </c>
      <c r="M123" s="396">
        <f t="shared" ref="M123" si="11">+M122+L123</f>
        <v>6071.8899999999894</v>
      </c>
      <c r="P123"/>
      <c r="Q123"/>
      <c r="R123"/>
      <c r="S123" s="4"/>
      <c r="T123"/>
      <c r="U123" s="11"/>
    </row>
    <row r="124" spans="1:21" x14ac:dyDescent="0.3">
      <c r="A124" s="12" t="s">
        <v>2268</v>
      </c>
      <c r="B124" s="360">
        <v>44985</v>
      </c>
      <c r="C124" s="105" t="s">
        <v>483</v>
      </c>
      <c r="D124" s="11" t="s">
        <v>2124</v>
      </c>
      <c r="E124" s="394" t="s">
        <v>40</v>
      </c>
      <c r="F124" s="269" t="s">
        <v>2183</v>
      </c>
      <c r="G124" s="240" t="s">
        <v>2039</v>
      </c>
      <c r="H124" s="33" t="str">
        <f t="shared" si="8"/>
        <v>2023 02 13</v>
      </c>
      <c r="I124" s="399"/>
      <c r="J124" s="399"/>
      <c r="K124" s="399">
        <v>-222</v>
      </c>
      <c r="L124" s="396">
        <f>I124+K124</f>
        <v>-222</v>
      </c>
      <c r="M124" s="396">
        <f>+M123+L124</f>
        <v>5849.8899999999894</v>
      </c>
      <c r="P124"/>
      <c r="Q124"/>
      <c r="R124"/>
      <c r="S124" s="4"/>
      <c r="T124"/>
      <c r="U124" s="11"/>
    </row>
    <row r="125" spans="1:21" x14ac:dyDescent="0.3">
      <c r="A125" s="12"/>
      <c r="B125" s="360">
        <v>44984</v>
      </c>
      <c r="C125" s="105" t="s">
        <v>483</v>
      </c>
      <c r="D125" s="11" t="s">
        <v>2176</v>
      </c>
      <c r="E125" s="394" t="s">
        <v>37</v>
      </c>
      <c r="F125" s="269" t="s">
        <v>2184</v>
      </c>
      <c r="G125" s="240" t="s">
        <v>2039</v>
      </c>
      <c r="H125" s="33" t="str">
        <f t="shared" si="8"/>
        <v/>
      </c>
      <c r="I125" s="399">
        <v>30</v>
      </c>
      <c r="J125" s="399"/>
      <c r="K125" s="399"/>
      <c r="L125" s="396">
        <f>I125+K125</f>
        <v>30</v>
      </c>
      <c r="M125" s="396">
        <f>+M124+L125</f>
        <v>5879.8899999999894</v>
      </c>
      <c r="P125"/>
      <c r="Q125"/>
      <c r="R125"/>
      <c r="S125" s="4"/>
      <c r="T125"/>
      <c r="U125" s="11"/>
    </row>
    <row r="126" spans="1:21" x14ac:dyDescent="0.3">
      <c r="A126" s="12"/>
      <c r="C126" s="105" t="s">
        <v>2160</v>
      </c>
      <c r="D126" s="11"/>
      <c r="E126" s="394"/>
      <c r="F126" s="269"/>
      <c r="G126" s="240" t="s">
        <v>2039</v>
      </c>
      <c r="H126" s="264" t="str">
        <f t="shared" si="8"/>
        <v/>
      </c>
      <c r="I126" s="396"/>
      <c r="J126" s="396"/>
      <c r="K126" s="396"/>
      <c r="L126" s="396">
        <f t="shared" si="5"/>
        <v>0</v>
      </c>
      <c r="M126" s="396">
        <f>+M125+L126</f>
        <v>5879.8899999999894</v>
      </c>
      <c r="P126"/>
      <c r="Q126"/>
      <c r="R126"/>
      <c r="S126" s="4"/>
      <c r="T126"/>
      <c r="U126" s="261"/>
    </row>
    <row r="127" spans="1:21" x14ac:dyDescent="0.3">
      <c r="A127" s="411" t="s">
        <v>2261</v>
      </c>
      <c r="B127" s="360">
        <v>45009</v>
      </c>
      <c r="C127" s="105" t="s">
        <v>484</v>
      </c>
      <c r="D127" s="4" t="s">
        <v>299</v>
      </c>
      <c r="E127" s="132" t="s">
        <v>301</v>
      </c>
      <c r="F127" s="120" t="s">
        <v>1801</v>
      </c>
      <c r="G127" s="240" t="s">
        <v>2039</v>
      </c>
      <c r="H127" s="33" t="str">
        <f t="shared" si="8"/>
        <v>2023 03 01</v>
      </c>
      <c r="I127" s="396"/>
      <c r="J127" s="396"/>
      <c r="K127" s="396">
        <f>-45.54</f>
        <v>-45.54</v>
      </c>
      <c r="L127" s="396">
        <f t="shared" si="5"/>
        <v>-45.54</v>
      </c>
      <c r="M127" s="396">
        <f>+M126+L127</f>
        <v>5834.3499999999894</v>
      </c>
      <c r="P127" s="30" t="s">
        <v>2189</v>
      </c>
      <c r="Q127" s="30"/>
      <c r="R127" s="30"/>
      <c r="S127"/>
      <c r="T127"/>
      <c r="U127"/>
    </row>
    <row r="128" spans="1:21" x14ac:dyDescent="0.3">
      <c r="A128" s="411" t="s">
        <v>2262</v>
      </c>
      <c r="B128" s="360">
        <v>45011</v>
      </c>
      <c r="C128" s="105" t="s">
        <v>484</v>
      </c>
      <c r="D128" s="4" t="s">
        <v>607</v>
      </c>
      <c r="E128" s="133" t="s">
        <v>11</v>
      </c>
      <c r="F128" s="120" t="s">
        <v>1802</v>
      </c>
      <c r="G128" s="240" t="s">
        <v>2039</v>
      </c>
      <c r="H128" s="33" t="str">
        <f t="shared" si="8"/>
        <v>2023 03 02</v>
      </c>
      <c r="I128" s="396"/>
      <c r="J128" s="396"/>
      <c r="K128" s="396">
        <v>-24.13</v>
      </c>
      <c r="L128" s="396">
        <f t="shared" ref="L128:L146" si="12">I128+K128</f>
        <v>-24.13</v>
      </c>
      <c r="M128" s="396">
        <f t="shared" ref="M128:M146" si="13">+M127+L128</f>
        <v>5810.2199999999893</v>
      </c>
      <c r="P128"/>
      <c r="Q128"/>
      <c r="R128"/>
      <c r="S128"/>
      <c r="T128"/>
      <c r="U128"/>
    </row>
    <row r="129" spans="1:21" x14ac:dyDescent="0.3">
      <c r="A129" s="411" t="s">
        <v>2263</v>
      </c>
      <c r="B129" s="360">
        <v>45004</v>
      </c>
      <c r="C129" s="105" t="s">
        <v>484</v>
      </c>
      <c r="D129" s="4" t="s">
        <v>2046</v>
      </c>
      <c r="E129" s="133" t="s">
        <v>12</v>
      </c>
      <c r="F129" s="269" t="s">
        <v>1802</v>
      </c>
      <c r="G129" s="240" t="s">
        <v>2039</v>
      </c>
      <c r="H129" s="33" t="str">
        <f t="shared" si="8"/>
        <v>2023 03 03</v>
      </c>
      <c r="I129" s="396"/>
      <c r="J129" s="396"/>
      <c r="K129" s="396">
        <v>-48.36</v>
      </c>
      <c r="L129" s="396">
        <f t="shared" si="12"/>
        <v>-48.36</v>
      </c>
      <c r="M129" s="396">
        <f t="shared" si="13"/>
        <v>5761.8599999999897</v>
      </c>
      <c r="P129" t="s">
        <v>584</v>
      </c>
      <c r="Q129"/>
      <c r="R129"/>
      <c r="S129"/>
      <c r="T129"/>
      <c r="U129" s="396">
        <v>7626.42</v>
      </c>
    </row>
    <row r="130" spans="1:21" x14ac:dyDescent="0.3">
      <c r="A130" s="411" t="s">
        <v>2264</v>
      </c>
      <c r="B130" s="360">
        <v>44992</v>
      </c>
      <c r="C130" s="105" t="s">
        <v>484</v>
      </c>
      <c r="D130" s="4" t="s">
        <v>48</v>
      </c>
      <c r="E130" s="133" t="s">
        <v>12</v>
      </c>
      <c r="F130" s="269" t="s">
        <v>1802</v>
      </c>
      <c r="G130" s="240" t="s">
        <v>2039</v>
      </c>
      <c r="H130" s="33" t="str">
        <f t="shared" si="8"/>
        <v>2023 03 04</v>
      </c>
      <c r="I130" s="396"/>
      <c r="J130" s="396"/>
      <c r="K130" s="396">
        <v>-117.45</v>
      </c>
      <c r="L130" s="396">
        <f t="shared" si="12"/>
        <v>-117.45</v>
      </c>
      <c r="M130" s="396">
        <f t="shared" si="13"/>
        <v>5644.4099999999899</v>
      </c>
      <c r="P130"/>
      <c r="Q130"/>
      <c r="R130"/>
      <c r="S130" s="396"/>
      <c r="T130"/>
      <c r="U130" s="396"/>
    </row>
    <row r="131" spans="1:21" x14ac:dyDescent="0.3">
      <c r="A131" s="411" t="s">
        <v>2265</v>
      </c>
      <c r="B131" s="360">
        <v>45004</v>
      </c>
      <c r="C131" s="105" t="s">
        <v>484</v>
      </c>
      <c r="D131" s="4" t="s">
        <v>58</v>
      </c>
      <c r="E131" s="133" t="s">
        <v>8</v>
      </c>
      <c r="F131" s="269" t="s">
        <v>746</v>
      </c>
      <c r="G131" s="240" t="s">
        <v>2039</v>
      </c>
      <c r="H131" s="33" t="str">
        <f t="shared" si="8"/>
        <v>2023 03 05</v>
      </c>
      <c r="I131" s="396"/>
      <c r="J131" s="396"/>
      <c r="K131" s="396">
        <v>-183.55</v>
      </c>
      <c r="L131" s="396">
        <f t="shared" si="12"/>
        <v>-183.55</v>
      </c>
      <c r="M131" s="396">
        <f t="shared" si="13"/>
        <v>5460.8599999999897</v>
      </c>
      <c r="P131"/>
      <c r="Q131"/>
      <c r="R131"/>
      <c r="S131"/>
      <c r="T131"/>
      <c r="U131" s="396"/>
    </row>
    <row r="132" spans="1:21" x14ac:dyDescent="0.3">
      <c r="A132" s="411" t="s">
        <v>2266</v>
      </c>
      <c r="B132" s="360">
        <v>45009</v>
      </c>
      <c r="C132" s="105" t="s">
        <v>484</v>
      </c>
      <c r="D132" s="4" t="s">
        <v>58</v>
      </c>
      <c r="E132" s="133" t="s">
        <v>9</v>
      </c>
      <c r="F132" s="269" t="s">
        <v>746</v>
      </c>
      <c r="G132" s="240" t="s">
        <v>2039</v>
      </c>
      <c r="H132" s="33" t="str">
        <f t="shared" si="8"/>
        <v>2023 03 06</v>
      </c>
      <c r="I132" s="396"/>
      <c r="J132" s="396"/>
      <c r="K132" s="396">
        <v>-159.38999999999999</v>
      </c>
      <c r="L132" s="396">
        <f t="shared" si="12"/>
        <v>-159.38999999999999</v>
      </c>
      <c r="M132" s="396">
        <f t="shared" si="13"/>
        <v>5301.4699999999893</v>
      </c>
      <c r="P132" s="15"/>
      <c r="Q132"/>
      <c r="R132"/>
      <c r="S132" s="396"/>
      <c r="T132"/>
      <c r="U132" s="396"/>
    </row>
    <row r="133" spans="1:21" x14ac:dyDescent="0.3">
      <c r="A133" s="12"/>
      <c r="B133" s="360">
        <v>44986</v>
      </c>
      <c r="C133" s="105" t="s">
        <v>484</v>
      </c>
      <c r="D133" s="11" t="s">
        <v>1870</v>
      </c>
      <c r="E133" s="394" t="s">
        <v>36</v>
      </c>
      <c r="F133" s="269" t="s">
        <v>2190</v>
      </c>
      <c r="G133" s="240" t="s">
        <v>2039</v>
      </c>
      <c r="H133" s="33" t="str">
        <f t="shared" si="8"/>
        <v/>
      </c>
      <c r="I133" s="396">
        <v>40.799999999999997</v>
      </c>
      <c r="J133" s="396"/>
      <c r="K133" s="396"/>
      <c r="L133" s="396">
        <f t="shared" si="12"/>
        <v>40.799999999999997</v>
      </c>
      <c r="M133" s="396">
        <f t="shared" si="13"/>
        <v>5342.2699999999895</v>
      </c>
      <c r="P133" s="15" t="s">
        <v>2161</v>
      </c>
      <c r="Q133"/>
      <c r="R133"/>
      <c r="S133" s="396">
        <v>123.78</v>
      </c>
      <c r="T133"/>
      <c r="U133" s="396"/>
    </row>
    <row r="134" spans="1:21" x14ac:dyDescent="0.3">
      <c r="A134" s="12"/>
      <c r="B134" s="360">
        <v>44987</v>
      </c>
      <c r="C134" s="105" t="s">
        <v>484</v>
      </c>
      <c r="D134" s="11" t="s">
        <v>2191</v>
      </c>
      <c r="E134" s="394" t="s">
        <v>37</v>
      </c>
      <c r="F134" s="269" t="s">
        <v>2192</v>
      </c>
      <c r="G134" s="240" t="s">
        <v>2039</v>
      </c>
      <c r="H134" s="33" t="str">
        <f t="shared" si="8"/>
        <v/>
      </c>
      <c r="I134" s="396">
        <v>84</v>
      </c>
      <c r="J134" s="396"/>
      <c r="K134" s="396"/>
      <c r="L134" s="396">
        <f t="shared" si="12"/>
        <v>84</v>
      </c>
      <c r="M134" s="396">
        <f t="shared" si="13"/>
        <v>5426.2699999999895</v>
      </c>
      <c r="P134" s="15"/>
      <c r="Q134"/>
      <c r="R134"/>
      <c r="S134" s="396"/>
      <c r="T134"/>
      <c r="U134" s="396"/>
    </row>
    <row r="135" spans="1:21" x14ac:dyDescent="0.3">
      <c r="A135" s="12"/>
      <c r="B135" s="360">
        <v>44987</v>
      </c>
      <c r="C135" s="105" t="s">
        <v>484</v>
      </c>
      <c r="D135" s="11" t="s">
        <v>2191</v>
      </c>
      <c r="E135" s="394" t="s">
        <v>499</v>
      </c>
      <c r="F135" s="269" t="s">
        <v>2192</v>
      </c>
      <c r="G135" s="240" t="s">
        <v>2039</v>
      </c>
      <c r="H135" s="33" t="str">
        <f t="shared" si="8"/>
        <v/>
      </c>
      <c r="I135" s="396">
        <v>50</v>
      </c>
      <c r="J135" s="396"/>
      <c r="K135" s="396"/>
      <c r="L135" s="396">
        <f t="shared" si="12"/>
        <v>50</v>
      </c>
      <c r="M135" s="396">
        <f t="shared" si="13"/>
        <v>5476.2699999999895</v>
      </c>
      <c r="P135" s="11"/>
      <c r="Q135"/>
      <c r="R135"/>
      <c r="S135" s="396"/>
      <c r="T135"/>
      <c r="U135" s="396"/>
    </row>
    <row r="136" spans="1:21" x14ac:dyDescent="0.3">
      <c r="A136" s="411" t="s">
        <v>2269</v>
      </c>
      <c r="B136" s="360">
        <v>44991</v>
      </c>
      <c r="C136" s="105" t="s">
        <v>484</v>
      </c>
      <c r="D136" s="11" t="s">
        <v>1845</v>
      </c>
      <c r="E136" s="394" t="s">
        <v>621</v>
      </c>
      <c r="F136" s="269" t="s">
        <v>1846</v>
      </c>
      <c r="G136" s="240" t="s">
        <v>2039</v>
      </c>
      <c r="H136" s="33" t="str">
        <f t="shared" si="8"/>
        <v>2023 03 07</v>
      </c>
      <c r="I136" s="396"/>
      <c r="J136" s="396"/>
      <c r="K136" s="396">
        <v>-10</v>
      </c>
      <c r="L136" s="396">
        <f t="shared" si="12"/>
        <v>-10</v>
      </c>
      <c r="M136" s="396">
        <f t="shared" si="13"/>
        <v>5466.2699999999895</v>
      </c>
      <c r="P136" s="4"/>
      <c r="Q136"/>
      <c r="R136"/>
      <c r="S136" s="396"/>
      <c r="T136"/>
      <c r="U136" s="396"/>
    </row>
    <row r="137" spans="1:21" x14ac:dyDescent="0.3">
      <c r="A137" s="12"/>
      <c r="B137" s="360">
        <v>44991</v>
      </c>
      <c r="C137" s="105" t="s">
        <v>484</v>
      </c>
      <c r="D137" s="11" t="s">
        <v>2195</v>
      </c>
      <c r="E137" s="394" t="s">
        <v>37</v>
      </c>
      <c r="F137" s="269" t="s">
        <v>2196</v>
      </c>
      <c r="G137" s="240" t="s">
        <v>2039</v>
      </c>
      <c r="H137" s="33" t="str">
        <f t="shared" si="8"/>
        <v/>
      </c>
      <c r="I137" s="396">
        <v>30</v>
      </c>
      <c r="J137" s="396"/>
      <c r="K137" s="396"/>
      <c r="L137" s="396">
        <f t="shared" si="12"/>
        <v>30</v>
      </c>
      <c r="M137" s="396">
        <f t="shared" si="13"/>
        <v>5496.2699999999895</v>
      </c>
      <c r="P137" s="11"/>
      <c r="S137" s="396"/>
      <c r="T137"/>
      <c r="U137" s="396"/>
    </row>
    <row r="138" spans="1:21" x14ac:dyDescent="0.3">
      <c r="A138" s="12"/>
      <c r="B138" s="360">
        <v>44991</v>
      </c>
      <c r="C138" s="105" t="s">
        <v>484</v>
      </c>
      <c r="D138" s="11" t="s">
        <v>2198</v>
      </c>
      <c r="E138" s="394" t="s">
        <v>36</v>
      </c>
      <c r="F138" s="269"/>
      <c r="G138" s="240" t="s">
        <v>2039</v>
      </c>
      <c r="H138" s="33" t="str">
        <f t="shared" si="8"/>
        <v/>
      </c>
      <c r="I138" s="396">
        <v>60</v>
      </c>
      <c r="J138" s="396"/>
      <c r="K138" s="396"/>
      <c r="L138" s="396">
        <f t="shared" si="12"/>
        <v>60</v>
      </c>
      <c r="M138" s="396">
        <f t="shared" si="13"/>
        <v>5556.2699999999895</v>
      </c>
      <c r="P138" s="11"/>
      <c r="S138" s="396"/>
      <c r="T138"/>
      <c r="U138" s="396"/>
    </row>
    <row r="139" spans="1:21" x14ac:dyDescent="0.3">
      <c r="A139" s="12"/>
      <c r="B139" s="360">
        <v>44992</v>
      </c>
      <c r="C139" s="105" t="s">
        <v>484</v>
      </c>
      <c r="D139" s="11" t="s">
        <v>2174</v>
      </c>
      <c r="E139" s="394" t="s">
        <v>2116</v>
      </c>
      <c r="F139" s="269" t="s">
        <v>2187</v>
      </c>
      <c r="G139" s="240" t="s">
        <v>2039</v>
      </c>
      <c r="H139" s="33" t="str">
        <f t="shared" si="8"/>
        <v/>
      </c>
      <c r="I139" s="396"/>
      <c r="J139" s="396"/>
      <c r="K139" s="396">
        <v>-50</v>
      </c>
      <c r="L139" s="396">
        <f t="shared" si="12"/>
        <v>-50</v>
      </c>
      <c r="M139" s="396">
        <f t="shared" si="13"/>
        <v>5506.2699999999895</v>
      </c>
      <c r="P139"/>
      <c r="Q139"/>
      <c r="R139"/>
      <c r="S139" s="125"/>
      <c r="T139"/>
      <c r="U139" s="396"/>
    </row>
    <row r="140" spans="1:21" x14ac:dyDescent="0.3">
      <c r="A140" s="12"/>
      <c r="B140" s="360">
        <v>44992</v>
      </c>
      <c r="C140" s="105" t="s">
        <v>484</v>
      </c>
      <c r="D140" s="11" t="s">
        <v>174</v>
      </c>
      <c r="E140" s="394" t="s">
        <v>36</v>
      </c>
      <c r="F140" s="269" t="s">
        <v>2197</v>
      </c>
      <c r="G140" s="240" t="s">
        <v>2039</v>
      </c>
      <c r="H140" s="33" t="str">
        <f t="shared" si="8"/>
        <v/>
      </c>
      <c r="I140" s="396">
        <v>3410</v>
      </c>
      <c r="J140" s="396"/>
      <c r="K140" s="396"/>
      <c r="L140" s="396">
        <f t="shared" si="12"/>
        <v>3410</v>
      </c>
      <c r="M140" s="396">
        <f t="shared" si="13"/>
        <v>8916.2699999999895</v>
      </c>
      <c r="P140"/>
      <c r="Q140"/>
      <c r="R140"/>
      <c r="S140" s="4"/>
      <c r="T140"/>
      <c r="U140" s="396">
        <f>SUM(S130:S139)</f>
        <v>123.78</v>
      </c>
    </row>
    <row r="141" spans="1:21" x14ac:dyDescent="0.3">
      <c r="A141" s="411" t="s">
        <v>2267</v>
      </c>
      <c r="B141" s="360">
        <v>44993</v>
      </c>
      <c r="C141" s="105" t="s">
        <v>484</v>
      </c>
      <c r="D141" s="11" t="s">
        <v>2200</v>
      </c>
      <c r="E141" s="394" t="s">
        <v>86</v>
      </c>
      <c r="F141" s="269" t="s">
        <v>2201</v>
      </c>
      <c r="G141" s="240" t="s">
        <v>2039</v>
      </c>
      <c r="H141" s="33" t="str">
        <f t="shared" si="8"/>
        <v>2023 03 08</v>
      </c>
      <c r="I141" s="396"/>
      <c r="J141" s="396"/>
      <c r="K141" s="396">
        <v>-100</v>
      </c>
      <c r="L141" s="396">
        <f t="shared" si="12"/>
        <v>-100</v>
      </c>
      <c r="M141" s="396">
        <f t="shared" si="13"/>
        <v>8816.2699999999895</v>
      </c>
      <c r="P141"/>
      <c r="Q141"/>
      <c r="R141"/>
      <c r="S141" s="4"/>
      <c r="T141"/>
      <c r="U141" s="396"/>
    </row>
    <row r="142" spans="1:21" x14ac:dyDescent="0.3">
      <c r="A142" s="12"/>
      <c r="B142" s="360">
        <v>44993</v>
      </c>
      <c r="C142" s="105" t="s">
        <v>484</v>
      </c>
      <c r="D142" s="11" t="s">
        <v>2204</v>
      </c>
      <c r="E142" s="394" t="s">
        <v>2116</v>
      </c>
      <c r="F142" s="269" t="s">
        <v>2146</v>
      </c>
      <c r="G142" s="240" t="s">
        <v>2039</v>
      </c>
      <c r="H142" s="33" t="str">
        <f t="shared" si="8"/>
        <v/>
      </c>
      <c r="I142" s="396"/>
      <c r="J142" s="396"/>
      <c r="K142" s="396">
        <v>-50</v>
      </c>
      <c r="L142" s="396">
        <f t="shared" si="12"/>
        <v>-50</v>
      </c>
      <c r="M142" s="396">
        <f t="shared" si="13"/>
        <v>8766.2699999999895</v>
      </c>
      <c r="P142"/>
      <c r="Q142"/>
      <c r="R142"/>
      <c r="S142" s="4"/>
      <c r="T142"/>
      <c r="U142" s="397">
        <f>U129+U140</f>
        <v>7750.2</v>
      </c>
    </row>
    <row r="143" spans="1:21" x14ac:dyDescent="0.3">
      <c r="A143" s="12"/>
      <c r="B143" s="360">
        <v>44998</v>
      </c>
      <c r="C143" s="105" t="s">
        <v>484</v>
      </c>
      <c r="D143" s="11" t="s">
        <v>2206</v>
      </c>
      <c r="E143" s="394" t="s">
        <v>37</v>
      </c>
      <c r="F143" s="269" t="s">
        <v>2205</v>
      </c>
      <c r="G143" s="240" t="s">
        <v>2039</v>
      </c>
      <c r="H143" s="33" t="str">
        <f t="shared" si="8"/>
        <v/>
      </c>
      <c r="I143" s="396">
        <v>147</v>
      </c>
      <c r="J143" s="396"/>
      <c r="K143" s="396"/>
      <c r="L143" s="396">
        <f t="shared" si="12"/>
        <v>147</v>
      </c>
      <c r="M143" s="396">
        <f t="shared" si="13"/>
        <v>8913.2699999999895</v>
      </c>
      <c r="P143"/>
      <c r="Q143"/>
      <c r="R143"/>
      <c r="S143" s="4"/>
      <c r="T143"/>
      <c r="U143" s="396">
        <f>VLOOKUP("Mar End",C:M,11,FALSE)-U142</f>
        <v>-1.0004441719502211E-11</v>
      </c>
    </row>
    <row r="144" spans="1:21" x14ac:dyDescent="0.3">
      <c r="A144" s="12"/>
      <c r="B144" s="360">
        <v>44998</v>
      </c>
      <c r="C144" s="105" t="s">
        <v>484</v>
      </c>
      <c r="D144" s="11" t="s">
        <v>2206</v>
      </c>
      <c r="E144" s="394" t="s">
        <v>500</v>
      </c>
      <c r="F144" s="269" t="s">
        <v>2205</v>
      </c>
      <c r="G144" s="240" t="s">
        <v>2039</v>
      </c>
      <c r="H144" s="33" t="str">
        <f t="shared" si="8"/>
        <v/>
      </c>
      <c r="I144" s="396">
        <v>50</v>
      </c>
      <c r="J144" s="396"/>
      <c r="K144" s="396"/>
      <c r="L144" s="396">
        <f t="shared" si="12"/>
        <v>50</v>
      </c>
      <c r="M144" s="396">
        <f t="shared" si="13"/>
        <v>8963.2699999999895</v>
      </c>
      <c r="P144"/>
      <c r="Q144"/>
      <c r="R144"/>
      <c r="S144" s="4"/>
      <c r="T144"/>
      <c r="U144" s="261"/>
    </row>
    <row r="145" spans="1:21" x14ac:dyDescent="0.3">
      <c r="A145" s="12"/>
      <c r="B145" s="360">
        <v>44994</v>
      </c>
      <c r="C145" s="105" t="s">
        <v>484</v>
      </c>
      <c r="D145" s="11" t="s">
        <v>743</v>
      </c>
      <c r="E145" s="394" t="s">
        <v>36</v>
      </c>
      <c r="F145" s="269" t="s">
        <v>2207</v>
      </c>
      <c r="G145" s="240" t="s">
        <v>2039</v>
      </c>
      <c r="H145" s="33" t="str">
        <f t="shared" si="8"/>
        <v/>
      </c>
      <c r="I145" s="396">
        <v>5</v>
      </c>
      <c r="J145" s="396"/>
      <c r="K145" s="396"/>
      <c r="L145" s="396">
        <f t="shared" si="12"/>
        <v>5</v>
      </c>
      <c r="M145" s="396">
        <f t="shared" si="13"/>
        <v>8968.2699999999895</v>
      </c>
      <c r="P145"/>
      <c r="Q145"/>
      <c r="R145"/>
      <c r="S145" s="4"/>
      <c r="T145"/>
      <c r="U145" s="261"/>
    </row>
    <row r="146" spans="1:21" x14ac:dyDescent="0.3">
      <c r="A146" s="12"/>
      <c r="B146" s="360">
        <v>44998</v>
      </c>
      <c r="C146" s="105" t="s">
        <v>484</v>
      </c>
      <c r="D146" s="11" t="s">
        <v>1296</v>
      </c>
      <c r="E146" s="394" t="s">
        <v>2116</v>
      </c>
      <c r="F146" s="269" t="s">
        <v>2122</v>
      </c>
      <c r="G146" s="240" t="s">
        <v>2039</v>
      </c>
      <c r="H146" s="33" t="str">
        <f t="shared" si="8"/>
        <v/>
      </c>
      <c r="I146" s="396"/>
      <c r="J146" s="396"/>
      <c r="K146" s="396">
        <v>-50</v>
      </c>
      <c r="L146" s="396">
        <f t="shared" si="12"/>
        <v>-50</v>
      </c>
      <c r="M146" s="396">
        <f t="shared" si="13"/>
        <v>8918.2699999999895</v>
      </c>
      <c r="P146"/>
      <c r="Q146"/>
      <c r="R146"/>
      <c r="S146" s="4"/>
      <c r="T146"/>
      <c r="U146" s="261"/>
    </row>
    <row r="147" spans="1:21" x14ac:dyDescent="0.3">
      <c r="A147" s="12"/>
      <c r="B147" s="360">
        <v>44998</v>
      </c>
      <c r="C147" s="105" t="s">
        <v>484</v>
      </c>
      <c r="D147" s="11" t="s">
        <v>447</v>
      </c>
      <c r="E147" s="394" t="s">
        <v>36</v>
      </c>
      <c r="F147" s="269"/>
      <c r="G147" s="240" t="s">
        <v>2039</v>
      </c>
      <c r="H147" s="33" t="str">
        <f t="shared" si="8"/>
        <v/>
      </c>
      <c r="I147" s="396">
        <v>72</v>
      </c>
      <c r="J147" s="396"/>
      <c r="K147" s="396"/>
      <c r="L147" s="396">
        <f t="shared" ref="L147:L166" si="14">I147+K147</f>
        <v>72</v>
      </c>
      <c r="M147" s="396">
        <f t="shared" ref="M147:M154" si="15">+M146+L147</f>
        <v>8990.2699999999895</v>
      </c>
      <c r="P147"/>
      <c r="Q147"/>
      <c r="R147"/>
      <c r="S147" s="4"/>
      <c r="T147"/>
      <c r="U147" s="261"/>
    </row>
    <row r="148" spans="1:21" x14ac:dyDescent="0.3">
      <c r="A148" s="12"/>
      <c r="B148" s="360">
        <v>45006</v>
      </c>
      <c r="C148" s="105" t="s">
        <v>484</v>
      </c>
      <c r="D148" s="11" t="s">
        <v>1847</v>
      </c>
      <c r="E148" s="394" t="s">
        <v>2116</v>
      </c>
      <c r="F148" s="269" t="s">
        <v>2209</v>
      </c>
      <c r="G148" s="240" t="s">
        <v>2039</v>
      </c>
      <c r="H148" s="33" t="str">
        <f t="shared" si="8"/>
        <v/>
      </c>
      <c r="I148" s="396"/>
      <c r="J148" s="396"/>
      <c r="K148" s="396">
        <v>-78</v>
      </c>
      <c r="L148" s="396">
        <f t="shared" si="14"/>
        <v>-78</v>
      </c>
      <c r="M148" s="396">
        <f t="shared" si="15"/>
        <v>8912.2699999999895</v>
      </c>
      <c r="P148"/>
      <c r="Q148"/>
      <c r="R148"/>
      <c r="S148" s="4"/>
      <c r="T148"/>
      <c r="U148" s="261"/>
    </row>
    <row r="149" spans="1:21" x14ac:dyDescent="0.3">
      <c r="A149" s="12"/>
      <c r="B149" s="360">
        <v>45006</v>
      </c>
      <c r="C149" s="105" t="s">
        <v>484</v>
      </c>
      <c r="D149" s="11" t="s">
        <v>2210</v>
      </c>
      <c r="E149" s="394" t="s">
        <v>36</v>
      </c>
      <c r="F149" s="269"/>
      <c r="G149" s="240" t="s">
        <v>2039</v>
      </c>
      <c r="H149" s="33" t="str">
        <f t="shared" si="8"/>
        <v/>
      </c>
      <c r="I149" s="396">
        <v>662.4</v>
      </c>
      <c r="J149" s="396"/>
      <c r="K149" s="396"/>
      <c r="L149" s="396">
        <f t="shared" si="14"/>
        <v>662.4</v>
      </c>
      <c r="M149" s="396">
        <f t="shared" si="15"/>
        <v>9574.6699999999892</v>
      </c>
      <c r="P149"/>
      <c r="Q149"/>
      <c r="R149"/>
      <c r="S149" s="4"/>
      <c r="T149"/>
      <c r="U149" s="261"/>
    </row>
    <row r="150" spans="1:21" x14ac:dyDescent="0.3">
      <c r="A150" s="12"/>
      <c r="B150" s="360">
        <v>45006</v>
      </c>
      <c r="C150" s="105" t="s">
        <v>484</v>
      </c>
      <c r="D150" s="11" t="s">
        <v>2167</v>
      </c>
      <c r="E150" s="394" t="s">
        <v>2116</v>
      </c>
      <c r="F150" s="269" t="s">
        <v>2178</v>
      </c>
      <c r="G150" s="240" t="s">
        <v>2039</v>
      </c>
      <c r="H150" s="33" t="str">
        <f t="shared" si="8"/>
        <v/>
      </c>
      <c r="I150" s="396"/>
      <c r="J150" s="396"/>
      <c r="K150" s="396">
        <v>-50</v>
      </c>
      <c r="L150" s="396">
        <f t="shared" si="14"/>
        <v>-50</v>
      </c>
      <c r="M150" s="396">
        <f t="shared" si="15"/>
        <v>9524.6699999999892</v>
      </c>
      <c r="P150"/>
      <c r="Q150"/>
      <c r="R150"/>
      <c r="S150" s="4"/>
      <c r="T150"/>
      <c r="U150" s="261"/>
    </row>
    <row r="151" spans="1:21" x14ac:dyDescent="0.3">
      <c r="A151" s="12"/>
      <c r="B151" s="360">
        <v>45007</v>
      </c>
      <c r="C151" s="105" t="s">
        <v>484</v>
      </c>
      <c r="D151" s="11" t="s">
        <v>2191</v>
      </c>
      <c r="E151" s="394" t="s">
        <v>2116</v>
      </c>
      <c r="F151" s="269" t="s">
        <v>2192</v>
      </c>
      <c r="G151" s="240" t="s">
        <v>2039</v>
      </c>
      <c r="H151" s="33" t="str">
        <f t="shared" si="8"/>
        <v/>
      </c>
      <c r="I151" s="396"/>
      <c r="J151" s="396"/>
      <c r="K151" s="396">
        <v>-50</v>
      </c>
      <c r="L151" s="396">
        <f t="shared" si="14"/>
        <v>-50</v>
      </c>
      <c r="M151" s="396">
        <f t="shared" si="15"/>
        <v>9474.6699999999892</v>
      </c>
      <c r="P151"/>
      <c r="Q151"/>
      <c r="R151"/>
      <c r="S151" s="4"/>
      <c r="T151"/>
      <c r="U151" s="261"/>
    </row>
    <row r="152" spans="1:21" x14ac:dyDescent="0.3">
      <c r="A152" s="12"/>
      <c r="B152" s="360">
        <v>45007</v>
      </c>
      <c r="C152" s="105" t="s">
        <v>484</v>
      </c>
      <c r="D152" s="11" t="s">
        <v>2198</v>
      </c>
      <c r="E152" s="394" t="s">
        <v>36</v>
      </c>
      <c r="F152" s="269"/>
      <c r="G152" s="240" t="s">
        <v>2039</v>
      </c>
      <c r="H152" s="33" t="str">
        <f t="shared" si="8"/>
        <v/>
      </c>
      <c r="I152" s="396">
        <v>60</v>
      </c>
      <c r="J152" s="396"/>
      <c r="K152" s="396"/>
      <c r="L152" s="396">
        <f t="shared" si="14"/>
        <v>60</v>
      </c>
      <c r="M152" s="396">
        <f t="shared" si="15"/>
        <v>9534.6699999999892</v>
      </c>
      <c r="P152"/>
      <c r="Q152"/>
      <c r="R152"/>
      <c r="S152" s="4"/>
      <c r="T152"/>
      <c r="U152" s="261"/>
    </row>
    <row r="153" spans="1:21" x14ac:dyDescent="0.3">
      <c r="A153" s="12"/>
      <c r="B153" s="360">
        <v>45007</v>
      </c>
      <c r="C153" s="105" t="s">
        <v>484</v>
      </c>
      <c r="D153" s="11" t="s">
        <v>2195</v>
      </c>
      <c r="E153" s="394" t="s">
        <v>500</v>
      </c>
      <c r="F153" s="269" t="s">
        <v>2196</v>
      </c>
      <c r="G153" s="240" t="s">
        <v>2039</v>
      </c>
      <c r="H153" s="33" t="str">
        <f t="shared" si="8"/>
        <v/>
      </c>
      <c r="I153" s="396">
        <v>50</v>
      </c>
      <c r="J153" s="396"/>
      <c r="K153" s="396"/>
      <c r="L153" s="396">
        <f t="shared" si="14"/>
        <v>50</v>
      </c>
      <c r="M153" s="396">
        <f t="shared" si="15"/>
        <v>9584.6699999999892</v>
      </c>
      <c r="P153"/>
      <c r="Q153"/>
      <c r="R153"/>
      <c r="S153" s="4"/>
      <c r="T153"/>
      <c r="U153" s="261"/>
    </row>
    <row r="154" spans="1:21" x14ac:dyDescent="0.3">
      <c r="A154" s="411" t="s">
        <v>2270</v>
      </c>
      <c r="B154" s="360">
        <v>45007</v>
      </c>
      <c r="C154" s="105" t="s">
        <v>484</v>
      </c>
      <c r="D154" s="11" t="s">
        <v>2213</v>
      </c>
      <c r="E154" s="394" t="s">
        <v>10</v>
      </c>
      <c r="F154" s="269" t="s">
        <v>2214</v>
      </c>
      <c r="G154" s="240" t="s">
        <v>2039</v>
      </c>
      <c r="H154" s="33" t="str">
        <f t="shared" ref="H154:H217" si="16">IF(A154&lt;&gt;"","2023 0"&amp;MONTH(B154)&amp;" "&amp;A154,"")</f>
        <v>2023 03 09</v>
      </c>
      <c r="I154" s="396"/>
      <c r="J154" s="396"/>
      <c r="K154" s="396">
        <v>-1183.48</v>
      </c>
      <c r="L154" s="396">
        <f t="shared" si="14"/>
        <v>-1183.48</v>
      </c>
      <c r="M154" s="396">
        <f t="shared" si="15"/>
        <v>8401.1899999999896</v>
      </c>
      <c r="P154"/>
      <c r="Q154"/>
      <c r="R154"/>
      <c r="S154" s="4"/>
      <c r="T154"/>
      <c r="U154" s="261"/>
    </row>
    <row r="155" spans="1:21" x14ac:dyDescent="0.3">
      <c r="A155" s="12"/>
      <c r="B155" s="360">
        <v>45007</v>
      </c>
      <c r="C155" s="105" t="s">
        <v>484</v>
      </c>
      <c r="D155" s="11" t="s">
        <v>2135</v>
      </c>
      <c r="E155" s="394" t="s">
        <v>2116</v>
      </c>
      <c r="F155" s="269" t="s">
        <v>2215</v>
      </c>
      <c r="G155" s="240" t="s">
        <v>2039</v>
      </c>
      <c r="H155" s="33" t="str">
        <f t="shared" si="16"/>
        <v/>
      </c>
      <c r="I155" s="396"/>
      <c r="J155" s="396"/>
      <c r="K155" s="396">
        <v>-21</v>
      </c>
      <c r="L155" s="396">
        <f t="shared" ref="L155:L161" si="17">I155+K155</f>
        <v>-21</v>
      </c>
      <c r="M155" s="396">
        <f t="shared" ref="M155:M195" si="18">+M154+L155</f>
        <v>8380.1899999999896</v>
      </c>
      <c r="P155"/>
      <c r="Q155"/>
      <c r="R155"/>
      <c r="S155" s="4"/>
      <c r="T155"/>
      <c r="U155" s="261"/>
    </row>
    <row r="156" spans="1:21" x14ac:dyDescent="0.3">
      <c r="A156" s="12"/>
      <c r="B156" s="360">
        <v>45010</v>
      </c>
      <c r="C156" s="105" t="s">
        <v>484</v>
      </c>
      <c r="D156" s="11" t="s">
        <v>2216</v>
      </c>
      <c r="E156" s="394" t="s">
        <v>37</v>
      </c>
      <c r="F156" s="269" t="s">
        <v>2217</v>
      </c>
      <c r="G156" s="240" t="s">
        <v>2039</v>
      </c>
      <c r="H156" s="33" t="str">
        <f t="shared" si="16"/>
        <v/>
      </c>
      <c r="I156" s="396">
        <v>21</v>
      </c>
      <c r="J156" s="396"/>
      <c r="K156" s="396"/>
      <c r="L156" s="396">
        <f t="shared" si="17"/>
        <v>21</v>
      </c>
      <c r="M156" s="396">
        <f t="shared" si="18"/>
        <v>8401.1899999999896</v>
      </c>
      <c r="P156"/>
      <c r="Q156"/>
      <c r="R156"/>
      <c r="S156" s="4"/>
      <c r="T156"/>
      <c r="U156" s="261"/>
    </row>
    <row r="157" spans="1:21" x14ac:dyDescent="0.3">
      <c r="A157" s="12" t="s">
        <v>2260</v>
      </c>
      <c r="B157" s="360">
        <v>45014</v>
      </c>
      <c r="C157" s="105" t="s">
        <v>484</v>
      </c>
      <c r="D157" s="11" t="s">
        <v>268</v>
      </c>
      <c r="E157" s="394" t="s">
        <v>12</v>
      </c>
      <c r="F157" s="269" t="s">
        <v>2218</v>
      </c>
      <c r="G157" s="240" t="s">
        <v>2039</v>
      </c>
      <c r="H157" s="33" t="str">
        <f t="shared" si="16"/>
        <v>2023 03 10</v>
      </c>
      <c r="I157" s="396"/>
      <c r="J157" s="396"/>
      <c r="K157" s="396">
        <v>-8</v>
      </c>
      <c r="L157" s="396">
        <f t="shared" si="17"/>
        <v>-8</v>
      </c>
      <c r="M157" s="396">
        <f t="shared" si="18"/>
        <v>8393.1899999999896</v>
      </c>
      <c r="P157"/>
      <c r="Q157"/>
      <c r="R157"/>
      <c r="S157" s="4"/>
      <c r="T157"/>
      <c r="U157" s="261"/>
    </row>
    <row r="158" spans="1:21" x14ac:dyDescent="0.3">
      <c r="A158" s="12" t="s">
        <v>139</v>
      </c>
      <c r="B158" s="360">
        <v>45014</v>
      </c>
      <c r="C158" s="105" t="s">
        <v>484</v>
      </c>
      <c r="D158" s="11" t="s">
        <v>1544</v>
      </c>
      <c r="E158" s="394" t="s">
        <v>12</v>
      </c>
      <c r="F158" s="269" t="s">
        <v>2219</v>
      </c>
      <c r="G158" s="240" t="s">
        <v>2039</v>
      </c>
      <c r="H158" s="33" t="str">
        <f t="shared" si="16"/>
        <v>2023 03 11</v>
      </c>
      <c r="I158" s="396"/>
      <c r="J158" s="396"/>
      <c r="K158" s="396">
        <v>-424.99</v>
      </c>
      <c r="L158" s="396">
        <f t="shared" si="17"/>
        <v>-424.99</v>
      </c>
      <c r="M158" s="396">
        <f t="shared" si="18"/>
        <v>7968.1999999999898</v>
      </c>
      <c r="P158"/>
      <c r="Q158"/>
      <c r="R158"/>
      <c r="S158" s="4"/>
      <c r="T158"/>
      <c r="U158" s="261"/>
    </row>
    <row r="159" spans="1:21" x14ac:dyDescent="0.3">
      <c r="A159" s="12" t="s">
        <v>382</v>
      </c>
      <c r="B159" s="360">
        <v>45016</v>
      </c>
      <c r="C159" s="105" t="s">
        <v>484</v>
      </c>
      <c r="D159" s="11" t="s">
        <v>1845</v>
      </c>
      <c r="E159" s="394" t="s">
        <v>621</v>
      </c>
      <c r="F159" s="269" t="s">
        <v>2220</v>
      </c>
      <c r="G159" s="240" t="s">
        <v>2039</v>
      </c>
      <c r="H159" s="33" t="str">
        <f t="shared" si="16"/>
        <v>2023 03 12</v>
      </c>
      <c r="I159" s="396"/>
      <c r="J159" s="396"/>
      <c r="K159" s="396">
        <v>-28</v>
      </c>
      <c r="L159" s="396">
        <f t="shared" si="17"/>
        <v>-28</v>
      </c>
      <c r="M159" s="396">
        <f t="shared" si="18"/>
        <v>7940.1999999999898</v>
      </c>
      <c r="P159"/>
      <c r="Q159"/>
      <c r="R159"/>
      <c r="S159" s="4"/>
      <c r="T159"/>
      <c r="U159" s="261"/>
    </row>
    <row r="160" spans="1:21" x14ac:dyDescent="0.3">
      <c r="A160" s="12" t="s">
        <v>2268</v>
      </c>
      <c r="B160" s="360">
        <v>45016</v>
      </c>
      <c r="C160" s="105" t="s">
        <v>484</v>
      </c>
      <c r="D160" s="11" t="s">
        <v>2221</v>
      </c>
      <c r="E160" s="394" t="s">
        <v>40</v>
      </c>
      <c r="F160" s="269" t="s">
        <v>2222</v>
      </c>
      <c r="G160" s="240" t="s">
        <v>2039</v>
      </c>
      <c r="H160" s="33" t="str">
        <f t="shared" si="16"/>
        <v>2023 03 13</v>
      </c>
      <c r="I160" s="396"/>
      <c r="J160" s="396"/>
      <c r="K160" s="396">
        <v>-220</v>
      </c>
      <c r="L160" s="396">
        <f t="shared" si="17"/>
        <v>-220</v>
      </c>
      <c r="M160" s="396">
        <f t="shared" si="18"/>
        <v>7720.1999999999898</v>
      </c>
      <c r="P160"/>
      <c r="Q160"/>
      <c r="R160"/>
      <c r="S160" s="4"/>
      <c r="T160"/>
      <c r="U160" s="261"/>
    </row>
    <row r="161" spans="1:21" x14ac:dyDescent="0.3">
      <c r="A161" s="12"/>
      <c r="B161" s="360">
        <v>45015</v>
      </c>
      <c r="C161" s="105" t="s">
        <v>484</v>
      </c>
      <c r="D161" s="11" t="s">
        <v>2198</v>
      </c>
      <c r="E161" s="394" t="s">
        <v>36</v>
      </c>
      <c r="F161" s="269"/>
      <c r="G161" s="240" t="s">
        <v>2039</v>
      </c>
      <c r="H161" s="33" t="str">
        <f t="shared" si="16"/>
        <v/>
      </c>
      <c r="I161" s="396">
        <v>30</v>
      </c>
      <c r="J161" s="396"/>
      <c r="K161" s="396"/>
      <c r="L161" s="396">
        <f t="shared" si="17"/>
        <v>30</v>
      </c>
      <c r="M161" s="396">
        <f t="shared" si="18"/>
        <v>7750.1999999999898</v>
      </c>
      <c r="P161"/>
      <c r="Q161"/>
      <c r="R161"/>
      <c r="S161" s="4"/>
      <c r="T161"/>
      <c r="U161" s="261"/>
    </row>
    <row r="162" spans="1:21" x14ac:dyDescent="0.3">
      <c r="A162" s="12"/>
      <c r="B162" s="360">
        <v>45016</v>
      </c>
      <c r="C162" s="105" t="s">
        <v>484</v>
      </c>
      <c r="D162" s="11" t="s">
        <v>2195</v>
      </c>
      <c r="E162" s="394" t="s">
        <v>37</v>
      </c>
      <c r="F162" s="269" t="s">
        <v>2196</v>
      </c>
      <c r="G162" s="240" t="s">
        <v>2039</v>
      </c>
      <c r="H162" s="33" t="str">
        <f t="shared" si="16"/>
        <v/>
      </c>
      <c r="I162" s="396">
        <v>50</v>
      </c>
      <c r="J162" s="396"/>
      <c r="K162" s="396"/>
      <c r="L162" s="396">
        <f t="shared" ref="L162:L163" si="19">I162+K162</f>
        <v>50</v>
      </c>
      <c r="M162" s="396">
        <f t="shared" si="18"/>
        <v>7800.1999999999898</v>
      </c>
      <c r="P162"/>
      <c r="Q162"/>
      <c r="R162"/>
      <c r="S162" s="4"/>
      <c r="T162"/>
      <c r="U162" s="261"/>
    </row>
    <row r="163" spans="1:21" x14ac:dyDescent="0.3">
      <c r="A163" s="12" t="s">
        <v>189</v>
      </c>
      <c r="B163" s="360">
        <v>45013</v>
      </c>
      <c r="C163" s="105" t="s">
        <v>484</v>
      </c>
      <c r="D163" s="11" t="s">
        <v>232</v>
      </c>
      <c r="E163" s="394" t="s">
        <v>13</v>
      </c>
      <c r="F163" s="269"/>
      <c r="G163" s="240" t="s">
        <v>2039</v>
      </c>
      <c r="H163" s="33" t="str">
        <f t="shared" si="16"/>
        <v>2023 03 14</v>
      </c>
      <c r="I163" s="396"/>
      <c r="J163" s="396"/>
      <c r="K163" s="396">
        <v>-50</v>
      </c>
      <c r="L163" s="396">
        <f t="shared" si="19"/>
        <v>-50</v>
      </c>
      <c r="M163" s="396">
        <f t="shared" si="18"/>
        <v>7750.1999999999898</v>
      </c>
      <c r="P163"/>
      <c r="Q163"/>
      <c r="R163"/>
      <c r="S163" s="4"/>
      <c r="T163"/>
      <c r="U163" s="261"/>
    </row>
    <row r="164" spans="1:21" x14ac:dyDescent="0.3">
      <c r="A164" s="412"/>
      <c r="B164" s="413"/>
      <c r="C164" s="414" t="s">
        <v>2188</v>
      </c>
      <c r="D164" s="415"/>
      <c r="E164" s="416"/>
      <c r="F164" s="417"/>
      <c r="G164" s="418" t="s">
        <v>2039</v>
      </c>
      <c r="H164" s="419" t="str">
        <f t="shared" si="16"/>
        <v/>
      </c>
      <c r="I164" s="420"/>
      <c r="J164" s="420"/>
      <c r="K164" s="420"/>
      <c r="L164" s="420">
        <f t="shared" si="14"/>
        <v>0</v>
      </c>
      <c r="M164" s="420">
        <f t="shared" si="18"/>
        <v>7750.1999999999898</v>
      </c>
      <c r="P164"/>
      <c r="Q164"/>
      <c r="R164"/>
      <c r="S164" s="4"/>
      <c r="T164"/>
      <c r="U164" s="261"/>
    </row>
    <row r="165" spans="1:21" x14ac:dyDescent="0.3">
      <c r="A165" s="411" t="s">
        <v>2261</v>
      </c>
      <c r="B165" s="360">
        <v>45040</v>
      </c>
      <c r="C165" s="105" t="s">
        <v>485</v>
      </c>
      <c r="D165" s="11" t="s">
        <v>299</v>
      </c>
      <c r="E165" s="394" t="s">
        <v>301</v>
      </c>
      <c r="F165" s="269" t="s">
        <v>1801</v>
      </c>
      <c r="G165" s="240" t="s">
        <v>2039</v>
      </c>
      <c r="H165" s="33" t="str">
        <f t="shared" si="16"/>
        <v>2023 04 01</v>
      </c>
      <c r="I165" s="396"/>
      <c r="J165" s="396"/>
      <c r="K165" s="396">
        <v>-54.18</v>
      </c>
      <c r="L165" s="396">
        <f t="shared" ref="L165" si="20">I165+K165</f>
        <v>-54.18</v>
      </c>
      <c r="M165" s="396">
        <f t="shared" ref="M165:M169" si="21">+M164+L165</f>
        <v>7696.0199999999895</v>
      </c>
      <c r="P165"/>
      <c r="Q165"/>
      <c r="R165"/>
      <c r="S165" s="4"/>
      <c r="T165"/>
      <c r="U165" s="261"/>
    </row>
    <row r="166" spans="1:21" x14ac:dyDescent="0.3">
      <c r="A166" s="411" t="s">
        <v>2262</v>
      </c>
      <c r="B166" s="360">
        <v>45043</v>
      </c>
      <c r="C166" s="105" t="s">
        <v>485</v>
      </c>
      <c r="D166" s="4" t="s">
        <v>607</v>
      </c>
      <c r="E166" s="133" t="s">
        <v>11</v>
      </c>
      <c r="F166" s="120" t="s">
        <v>1802</v>
      </c>
      <c r="G166" s="240" t="s">
        <v>2039</v>
      </c>
      <c r="H166" s="33" t="str">
        <f t="shared" si="16"/>
        <v>2023 04 02</v>
      </c>
      <c r="I166" s="396"/>
      <c r="J166" s="396"/>
      <c r="K166" s="396">
        <v>-24.13</v>
      </c>
      <c r="L166" s="396">
        <f t="shared" si="14"/>
        <v>-24.13</v>
      </c>
      <c r="M166" s="396">
        <f t="shared" si="21"/>
        <v>7671.8899999999894</v>
      </c>
      <c r="P166" s="30" t="s">
        <v>2224</v>
      </c>
      <c r="Q166" s="30"/>
      <c r="R166" s="30"/>
      <c r="S166"/>
      <c r="T166"/>
      <c r="U166"/>
    </row>
    <row r="167" spans="1:21" x14ac:dyDescent="0.3">
      <c r="A167" s="411" t="s">
        <v>2263</v>
      </c>
      <c r="B167" s="360">
        <v>45036</v>
      </c>
      <c r="C167" s="105" t="s">
        <v>485</v>
      </c>
      <c r="D167" s="4" t="s">
        <v>2046</v>
      </c>
      <c r="E167" s="133" t="s">
        <v>12</v>
      </c>
      <c r="F167" s="269" t="s">
        <v>1802</v>
      </c>
      <c r="G167" s="240" t="s">
        <v>2039</v>
      </c>
      <c r="H167" s="33" t="str">
        <f t="shared" si="16"/>
        <v>2023 04 03</v>
      </c>
      <c r="I167" s="396"/>
      <c r="J167" s="396"/>
      <c r="K167" s="396">
        <v>-48.36</v>
      </c>
      <c r="L167" s="396">
        <f t="shared" ref="L167:L195" si="22">I167+K167</f>
        <v>-48.36</v>
      </c>
      <c r="M167" s="396">
        <f t="shared" si="21"/>
        <v>7623.5299999999897</v>
      </c>
      <c r="P167"/>
      <c r="Q167"/>
      <c r="R167"/>
      <c r="S167"/>
      <c r="T167"/>
      <c r="U167"/>
    </row>
    <row r="168" spans="1:21" x14ac:dyDescent="0.3">
      <c r="A168" s="411" t="s">
        <v>2264</v>
      </c>
      <c r="B168" s="360">
        <v>45027</v>
      </c>
      <c r="C168" s="105" t="s">
        <v>485</v>
      </c>
      <c r="D168" s="4" t="s">
        <v>48</v>
      </c>
      <c r="E168" s="133" t="s">
        <v>12</v>
      </c>
      <c r="F168" s="269" t="s">
        <v>1802</v>
      </c>
      <c r="G168" s="240" t="s">
        <v>2039</v>
      </c>
      <c r="H168" s="33" t="str">
        <f t="shared" si="16"/>
        <v>2023 04 04</v>
      </c>
      <c r="I168" s="396"/>
      <c r="J168" s="396"/>
      <c r="K168" s="396">
        <v>-117.45</v>
      </c>
      <c r="L168" s="396">
        <f t="shared" si="22"/>
        <v>-117.45</v>
      </c>
      <c r="M168" s="396">
        <f t="shared" si="21"/>
        <v>7506.0799999999899</v>
      </c>
      <c r="P168" t="s">
        <v>584</v>
      </c>
      <c r="Q168"/>
      <c r="R168"/>
      <c r="S168"/>
      <c r="T168"/>
      <c r="U168" s="396">
        <v>9885.9699999999993</v>
      </c>
    </row>
    <row r="169" spans="1:21" x14ac:dyDescent="0.3">
      <c r="A169" s="411" t="s">
        <v>2265</v>
      </c>
      <c r="B169" s="360">
        <v>45041</v>
      </c>
      <c r="C169" s="105" t="s">
        <v>485</v>
      </c>
      <c r="D169" s="4" t="s">
        <v>58</v>
      </c>
      <c r="E169" s="133" t="s">
        <v>9</v>
      </c>
      <c r="F169" s="269" t="s">
        <v>745</v>
      </c>
      <c r="G169" s="240" t="s">
        <v>2039</v>
      </c>
      <c r="H169" s="33" t="str">
        <f t="shared" si="16"/>
        <v>2023 04 05</v>
      </c>
      <c r="I169" s="396"/>
      <c r="J169" s="396"/>
      <c r="K169" s="396">
        <v>-142.4</v>
      </c>
      <c r="L169" s="396">
        <f t="shared" si="22"/>
        <v>-142.4</v>
      </c>
      <c r="M169" s="396">
        <f t="shared" si="21"/>
        <v>7363.6799999999903</v>
      </c>
      <c r="P169"/>
      <c r="Q169"/>
      <c r="R169"/>
      <c r="S169" s="396"/>
      <c r="T169"/>
      <c r="U169" s="396"/>
    </row>
    <row r="170" spans="1:21" x14ac:dyDescent="0.3">
      <c r="A170" s="411" t="s">
        <v>2266</v>
      </c>
      <c r="B170" s="360">
        <v>45040</v>
      </c>
      <c r="C170" s="105" t="s">
        <v>485</v>
      </c>
      <c r="D170" s="4" t="s">
        <v>58</v>
      </c>
      <c r="E170" s="133" t="s">
        <v>8</v>
      </c>
      <c r="F170" s="269" t="s">
        <v>2283</v>
      </c>
      <c r="G170" s="240" t="s">
        <v>2039</v>
      </c>
      <c r="H170" s="33" t="str">
        <f t="shared" si="16"/>
        <v>2023 04 06</v>
      </c>
      <c r="I170" s="396"/>
      <c r="J170" s="396"/>
      <c r="K170" s="396">
        <v>-278.61</v>
      </c>
      <c r="L170" s="396">
        <f t="shared" si="22"/>
        <v>-278.61</v>
      </c>
      <c r="M170" s="396">
        <f t="shared" si="18"/>
        <v>7085.0699999999906</v>
      </c>
      <c r="P170"/>
      <c r="Q170"/>
      <c r="R170"/>
      <c r="S170"/>
      <c r="T170"/>
      <c r="U170" s="396"/>
    </row>
    <row r="171" spans="1:21" x14ac:dyDescent="0.3">
      <c r="A171" s="12"/>
      <c r="B171" s="360">
        <v>45017</v>
      </c>
      <c r="C171" s="105" t="s">
        <v>485</v>
      </c>
      <c r="D171" s="11" t="s">
        <v>1870</v>
      </c>
      <c r="E171" s="394" t="s">
        <v>36</v>
      </c>
      <c r="F171" s="269" t="s">
        <v>2289</v>
      </c>
      <c r="G171" s="240" t="s">
        <v>2039</v>
      </c>
      <c r="H171" s="33" t="str">
        <f t="shared" si="16"/>
        <v/>
      </c>
      <c r="I171" s="396">
        <v>40.799999999999997</v>
      </c>
      <c r="J171" s="396"/>
      <c r="K171" s="396"/>
      <c r="L171" s="396">
        <f t="shared" si="22"/>
        <v>40.799999999999997</v>
      </c>
      <c r="M171" s="396">
        <f t="shared" si="18"/>
        <v>7125.8699999999908</v>
      </c>
      <c r="P171" s="15"/>
      <c r="Q171"/>
      <c r="R171"/>
      <c r="S171" s="396"/>
      <c r="T171"/>
      <c r="U171" s="396"/>
    </row>
    <row r="172" spans="1:21" x14ac:dyDescent="0.3">
      <c r="A172" s="12"/>
      <c r="B172" s="360">
        <v>45017</v>
      </c>
      <c r="C172" s="105" t="s">
        <v>485</v>
      </c>
      <c r="D172" s="4" t="s">
        <v>2114</v>
      </c>
      <c r="E172" s="394" t="s">
        <v>36</v>
      </c>
      <c r="F172" s="269" t="s">
        <v>2225</v>
      </c>
      <c r="G172" s="240" t="s">
        <v>2039</v>
      </c>
      <c r="H172" s="33" t="str">
        <f t="shared" si="16"/>
        <v/>
      </c>
      <c r="I172" s="396">
        <v>294</v>
      </c>
      <c r="J172" s="396"/>
      <c r="K172" s="396"/>
      <c r="L172" s="396">
        <f t="shared" si="22"/>
        <v>294</v>
      </c>
      <c r="M172" s="396">
        <f t="shared" si="18"/>
        <v>7419.8699999999908</v>
      </c>
      <c r="P172" s="15"/>
      <c r="Q172"/>
      <c r="R172"/>
      <c r="S172" s="396"/>
      <c r="T172"/>
      <c r="U172" s="396"/>
    </row>
    <row r="173" spans="1:21" x14ac:dyDescent="0.3">
      <c r="A173" s="411" t="s">
        <v>2269</v>
      </c>
      <c r="B173" s="360">
        <v>45021</v>
      </c>
      <c r="C173" s="105" t="s">
        <v>485</v>
      </c>
      <c r="D173" s="11" t="s">
        <v>234</v>
      </c>
      <c r="E173" s="394" t="s">
        <v>12</v>
      </c>
      <c r="F173" s="269" t="s">
        <v>2226</v>
      </c>
      <c r="G173" s="240" t="s">
        <v>2039</v>
      </c>
      <c r="H173" s="33" t="str">
        <f t="shared" si="16"/>
        <v>2023 04 07</v>
      </c>
      <c r="I173" s="396"/>
      <c r="J173" s="396"/>
      <c r="K173" s="396">
        <v>-16.2</v>
      </c>
      <c r="L173" s="396">
        <f t="shared" si="22"/>
        <v>-16.2</v>
      </c>
      <c r="M173" s="396">
        <f t="shared" si="18"/>
        <v>7403.669999999991</v>
      </c>
      <c r="P173" s="15"/>
      <c r="Q173"/>
      <c r="R173"/>
      <c r="S173" s="396"/>
      <c r="T173"/>
      <c r="U173" s="396"/>
    </row>
    <row r="174" spans="1:21" x14ac:dyDescent="0.3">
      <c r="A174" s="411" t="s">
        <v>2267</v>
      </c>
      <c r="B174" s="360">
        <v>45021</v>
      </c>
      <c r="C174" s="105" t="s">
        <v>485</v>
      </c>
      <c r="D174" s="11" t="s">
        <v>234</v>
      </c>
      <c r="E174" s="394" t="s">
        <v>40</v>
      </c>
      <c r="F174" s="269" t="s">
        <v>2227</v>
      </c>
      <c r="G174" s="240" t="s">
        <v>2039</v>
      </c>
      <c r="H174" s="33" t="str">
        <f t="shared" si="16"/>
        <v>2023 04 08</v>
      </c>
      <c r="I174" s="396"/>
      <c r="J174" s="396"/>
      <c r="K174" s="396">
        <v>-65</v>
      </c>
      <c r="L174" s="396">
        <f t="shared" si="22"/>
        <v>-65</v>
      </c>
      <c r="M174" s="396">
        <f t="shared" si="18"/>
        <v>7338.669999999991</v>
      </c>
      <c r="P174" s="11"/>
      <c r="Q174"/>
      <c r="R174"/>
      <c r="S174" s="396"/>
      <c r="T174"/>
      <c r="U174" s="396"/>
    </row>
    <row r="175" spans="1:21" x14ac:dyDescent="0.3">
      <c r="A175" s="411" t="s">
        <v>2270</v>
      </c>
      <c r="B175" s="360">
        <v>45021</v>
      </c>
      <c r="C175" s="105" t="s">
        <v>485</v>
      </c>
      <c r="D175" s="11" t="s">
        <v>234</v>
      </c>
      <c r="E175" s="394" t="s">
        <v>40</v>
      </c>
      <c r="F175" s="269" t="s">
        <v>2228</v>
      </c>
      <c r="G175" s="240" t="s">
        <v>2039</v>
      </c>
      <c r="H175" s="33" t="str">
        <f t="shared" si="16"/>
        <v>2023 04 09</v>
      </c>
      <c r="I175" s="396"/>
      <c r="J175" s="396"/>
      <c r="K175" s="396">
        <v>-146.4</v>
      </c>
      <c r="L175" s="396">
        <f t="shared" si="22"/>
        <v>-146.4</v>
      </c>
      <c r="M175" s="396">
        <f t="shared" si="18"/>
        <v>7192.2699999999913</v>
      </c>
      <c r="P175" s="4"/>
      <c r="Q175"/>
      <c r="R175"/>
      <c r="S175" s="396"/>
      <c r="T175"/>
      <c r="U175" s="396"/>
    </row>
    <row r="176" spans="1:21" x14ac:dyDescent="0.3">
      <c r="A176" s="411" t="s">
        <v>2260</v>
      </c>
      <c r="B176" s="360">
        <v>45021</v>
      </c>
      <c r="C176" s="105" t="s">
        <v>485</v>
      </c>
      <c r="D176" s="11" t="s">
        <v>234</v>
      </c>
      <c r="E176" s="394" t="s">
        <v>12</v>
      </c>
      <c r="F176" s="269" t="s">
        <v>2229</v>
      </c>
      <c r="G176" s="240" t="s">
        <v>2039</v>
      </c>
      <c r="H176" s="33" t="str">
        <f t="shared" si="16"/>
        <v>2023 04 10</v>
      </c>
      <c r="I176" s="396"/>
      <c r="J176" s="396"/>
      <c r="K176" s="396">
        <v>-49.39</v>
      </c>
      <c r="L176" s="396">
        <f t="shared" si="22"/>
        <v>-49.39</v>
      </c>
      <c r="M176" s="396">
        <f t="shared" si="18"/>
        <v>7142.879999999991</v>
      </c>
      <c r="P176" s="11"/>
      <c r="S176" s="396"/>
      <c r="T176"/>
      <c r="U176" s="396"/>
    </row>
    <row r="177" spans="1:21" x14ac:dyDescent="0.3">
      <c r="A177" s="12"/>
      <c r="B177" s="360">
        <v>45019</v>
      </c>
      <c r="C177" s="105" t="s">
        <v>485</v>
      </c>
      <c r="D177" s="11" t="s">
        <v>174</v>
      </c>
      <c r="E177" s="394" t="s">
        <v>36</v>
      </c>
      <c r="F177" s="269" t="s">
        <v>2231</v>
      </c>
      <c r="G177" s="240" t="s">
        <v>2039</v>
      </c>
      <c r="H177" s="33" t="str">
        <f t="shared" si="16"/>
        <v/>
      </c>
      <c r="I177" s="396">
        <v>3586.8</v>
      </c>
      <c r="J177" s="396"/>
      <c r="K177" s="396"/>
      <c r="L177" s="396">
        <f t="shared" si="22"/>
        <v>3586.8</v>
      </c>
      <c r="M177" s="396">
        <f t="shared" si="18"/>
        <v>10729.679999999991</v>
      </c>
      <c r="P177" s="11"/>
      <c r="S177" s="396"/>
      <c r="T177"/>
      <c r="U177" s="396"/>
    </row>
    <row r="178" spans="1:21" x14ac:dyDescent="0.3">
      <c r="A178" s="12"/>
      <c r="B178" s="360">
        <v>45020</v>
      </c>
      <c r="C178" s="105" t="s">
        <v>485</v>
      </c>
      <c r="D178" s="11" t="s">
        <v>2230</v>
      </c>
      <c r="E178" s="394" t="s">
        <v>37</v>
      </c>
      <c r="F178" s="269" t="s">
        <v>2234</v>
      </c>
      <c r="G178" s="240" t="s">
        <v>2039</v>
      </c>
      <c r="H178" s="33" t="str">
        <f t="shared" si="16"/>
        <v/>
      </c>
      <c r="I178" s="396">
        <v>51</v>
      </c>
      <c r="J178" s="396"/>
      <c r="K178" s="396"/>
      <c r="L178" s="396">
        <f t="shared" si="22"/>
        <v>51</v>
      </c>
      <c r="M178" s="396">
        <f t="shared" si="18"/>
        <v>10780.679999999991</v>
      </c>
      <c r="P178"/>
      <c r="Q178"/>
      <c r="R178"/>
      <c r="S178" s="125"/>
      <c r="T178"/>
      <c r="U178" s="396"/>
    </row>
    <row r="179" spans="1:21" x14ac:dyDescent="0.3">
      <c r="A179" s="12"/>
      <c r="B179" s="360">
        <v>45027</v>
      </c>
      <c r="C179" s="105" t="s">
        <v>485</v>
      </c>
      <c r="D179" s="11" t="s">
        <v>2206</v>
      </c>
      <c r="E179" s="394" t="s">
        <v>2116</v>
      </c>
      <c r="F179" s="269" t="s">
        <v>2205</v>
      </c>
      <c r="G179" s="240" t="s">
        <v>2039</v>
      </c>
      <c r="H179" s="33" t="str">
        <f t="shared" si="16"/>
        <v/>
      </c>
      <c r="I179" s="396"/>
      <c r="J179" s="396"/>
      <c r="K179" s="396">
        <v>-50</v>
      </c>
      <c r="L179" s="396">
        <f t="shared" si="22"/>
        <v>-50</v>
      </c>
      <c r="M179" s="396">
        <f t="shared" si="18"/>
        <v>10730.679999999991</v>
      </c>
      <c r="P179"/>
      <c r="Q179"/>
      <c r="R179"/>
      <c r="S179" s="4"/>
      <c r="T179"/>
      <c r="U179" s="396">
        <f>SUM(S169:S178)</f>
        <v>0</v>
      </c>
    </row>
    <row r="180" spans="1:21" x14ac:dyDescent="0.3">
      <c r="A180" s="411" t="s">
        <v>139</v>
      </c>
      <c r="B180" s="360">
        <v>45027</v>
      </c>
      <c r="C180" s="105" t="s">
        <v>485</v>
      </c>
      <c r="D180" s="11" t="s">
        <v>2232</v>
      </c>
      <c r="E180" s="394" t="s">
        <v>10</v>
      </c>
      <c r="F180" s="269" t="s">
        <v>2233</v>
      </c>
      <c r="G180" s="240" t="s">
        <v>2039</v>
      </c>
      <c r="H180" s="33" t="str">
        <f t="shared" si="16"/>
        <v>2023 04 11</v>
      </c>
      <c r="I180" s="396"/>
      <c r="J180" s="396"/>
      <c r="K180" s="396">
        <v>-840</v>
      </c>
      <c r="L180" s="396">
        <f t="shared" si="22"/>
        <v>-840</v>
      </c>
      <c r="M180" s="396">
        <f t="shared" si="18"/>
        <v>9890.6799999999912</v>
      </c>
      <c r="P180"/>
      <c r="Q180"/>
      <c r="R180"/>
      <c r="S180" s="4"/>
      <c r="T180"/>
      <c r="U180" s="396"/>
    </row>
    <row r="181" spans="1:21" x14ac:dyDescent="0.3">
      <c r="A181" s="12"/>
      <c r="B181" s="360">
        <v>45028</v>
      </c>
      <c r="C181" s="105" t="s">
        <v>485</v>
      </c>
      <c r="D181" s="11" t="s">
        <v>2258</v>
      </c>
      <c r="E181" s="394" t="s">
        <v>37</v>
      </c>
      <c r="F181" s="269" t="s">
        <v>2259</v>
      </c>
      <c r="G181" s="240" t="s">
        <v>2039</v>
      </c>
      <c r="H181" s="33" t="str">
        <f t="shared" si="16"/>
        <v/>
      </c>
      <c r="I181" s="396">
        <v>84</v>
      </c>
      <c r="J181" s="396"/>
      <c r="K181" s="396"/>
      <c r="L181" s="396">
        <f t="shared" si="22"/>
        <v>84</v>
      </c>
      <c r="M181" s="396">
        <f t="shared" si="18"/>
        <v>9974.6799999999912</v>
      </c>
      <c r="P181"/>
      <c r="Q181"/>
      <c r="R181"/>
      <c r="S181" s="4"/>
      <c r="T181"/>
      <c r="U181" s="397">
        <f>U168+U179</f>
        <v>9885.9699999999993</v>
      </c>
    </row>
    <row r="182" spans="1:21" x14ac:dyDescent="0.3">
      <c r="A182" s="12"/>
      <c r="B182" s="360">
        <v>45028</v>
      </c>
      <c r="C182" s="105" t="s">
        <v>485</v>
      </c>
      <c r="D182" s="11" t="s">
        <v>2258</v>
      </c>
      <c r="E182" s="394" t="s">
        <v>499</v>
      </c>
      <c r="F182" s="269" t="s">
        <v>2259</v>
      </c>
      <c r="G182" s="240" t="s">
        <v>2039</v>
      </c>
      <c r="H182" s="33" t="str">
        <f t="shared" si="16"/>
        <v/>
      </c>
      <c r="I182" s="396">
        <v>50</v>
      </c>
      <c r="J182" s="396"/>
      <c r="K182" s="396"/>
      <c r="L182" s="396">
        <f t="shared" ref="L182:L188" si="23">I182+K182</f>
        <v>50</v>
      </c>
      <c r="M182" s="396">
        <f t="shared" si="18"/>
        <v>10024.679999999991</v>
      </c>
      <c r="P182"/>
      <c r="Q182"/>
      <c r="R182"/>
      <c r="S182" s="4"/>
      <c r="T182"/>
      <c r="U182" s="396">
        <f>VLOOKUP("Apr End",C:M,11,FALSE)-U181</f>
        <v>0</v>
      </c>
    </row>
    <row r="183" spans="1:21" x14ac:dyDescent="0.3">
      <c r="A183" s="12"/>
      <c r="B183" s="360">
        <v>45033</v>
      </c>
      <c r="C183" s="105" t="s">
        <v>485</v>
      </c>
      <c r="D183" s="11" t="s">
        <v>2195</v>
      </c>
      <c r="E183" s="394" t="s">
        <v>2116</v>
      </c>
      <c r="F183" s="269" t="s">
        <v>2196</v>
      </c>
      <c r="G183" s="240" t="s">
        <v>2039</v>
      </c>
      <c r="H183" s="33" t="str">
        <f t="shared" si="16"/>
        <v/>
      </c>
      <c r="I183" s="396"/>
      <c r="J183" s="396"/>
      <c r="K183" s="396">
        <v>-50</v>
      </c>
      <c r="L183" s="396">
        <f t="shared" si="23"/>
        <v>-50</v>
      </c>
      <c r="M183" s="396">
        <f t="shared" si="18"/>
        <v>9974.6799999999912</v>
      </c>
      <c r="P183"/>
      <c r="Q183"/>
      <c r="R183"/>
      <c r="S183" s="4"/>
      <c r="T183"/>
    </row>
    <row r="184" spans="1:21" x14ac:dyDescent="0.3">
      <c r="A184" s="12"/>
      <c r="B184" s="360">
        <v>45034</v>
      </c>
      <c r="C184" s="105" t="s">
        <v>485</v>
      </c>
      <c r="D184" s="11" t="s">
        <v>2272</v>
      </c>
      <c r="E184" s="394" t="s">
        <v>37</v>
      </c>
      <c r="F184" s="269" t="s">
        <v>2273</v>
      </c>
      <c r="G184" s="240" t="s">
        <v>2039</v>
      </c>
      <c r="H184" s="33" t="str">
        <f t="shared" si="16"/>
        <v/>
      </c>
      <c r="I184" s="396">
        <v>380</v>
      </c>
      <c r="J184" s="396"/>
      <c r="K184" s="396"/>
      <c r="L184" s="396">
        <f t="shared" si="23"/>
        <v>380</v>
      </c>
      <c r="M184" s="396">
        <f t="shared" si="18"/>
        <v>10354.679999999991</v>
      </c>
      <c r="P184"/>
      <c r="Q184"/>
      <c r="R184"/>
      <c r="S184" s="4"/>
      <c r="T184"/>
      <c r="U184" s="397"/>
    </row>
    <row r="185" spans="1:21" x14ac:dyDescent="0.3">
      <c r="A185" s="12"/>
      <c r="B185" s="360">
        <v>45035</v>
      </c>
      <c r="C185" s="105" t="s">
        <v>485</v>
      </c>
      <c r="D185" s="11" t="s">
        <v>2274</v>
      </c>
      <c r="E185" s="394" t="s">
        <v>37</v>
      </c>
      <c r="F185" s="269" t="s">
        <v>2275</v>
      </c>
      <c r="G185" s="240" t="s">
        <v>2039</v>
      </c>
      <c r="H185" s="33" t="str">
        <f t="shared" si="16"/>
        <v/>
      </c>
      <c r="I185" s="396">
        <v>12</v>
      </c>
      <c r="J185" s="396"/>
      <c r="K185" s="396"/>
      <c r="L185" s="396">
        <f t="shared" si="23"/>
        <v>12</v>
      </c>
      <c r="M185" s="396">
        <f t="shared" si="18"/>
        <v>10366.679999999991</v>
      </c>
      <c r="P185"/>
      <c r="Q185"/>
      <c r="R185"/>
      <c r="S185" s="4"/>
      <c r="T185"/>
      <c r="U185" s="397"/>
    </row>
    <row r="186" spans="1:21" x14ac:dyDescent="0.3">
      <c r="A186" s="12"/>
      <c r="B186" s="360">
        <v>45036</v>
      </c>
      <c r="C186" s="105" t="s">
        <v>485</v>
      </c>
      <c r="D186" s="11" t="s">
        <v>2118</v>
      </c>
      <c r="E186" s="394" t="s">
        <v>36</v>
      </c>
      <c r="F186" s="269" t="s">
        <v>2276</v>
      </c>
      <c r="G186" s="240" t="s">
        <v>2039</v>
      </c>
      <c r="H186" s="33" t="str">
        <f t="shared" si="16"/>
        <v/>
      </c>
      <c r="I186" s="396">
        <v>15</v>
      </c>
      <c r="J186" s="396"/>
      <c r="K186" s="396"/>
      <c r="L186" s="396">
        <f t="shared" si="23"/>
        <v>15</v>
      </c>
      <c r="M186" s="396">
        <f t="shared" si="18"/>
        <v>10381.679999999991</v>
      </c>
      <c r="P186"/>
      <c r="Q186"/>
      <c r="R186"/>
      <c r="S186" s="4"/>
      <c r="T186"/>
      <c r="U186" s="397"/>
    </row>
    <row r="187" spans="1:21" x14ac:dyDescent="0.3">
      <c r="A187" s="12"/>
      <c r="B187" s="360">
        <v>45036</v>
      </c>
      <c r="C187" s="105" t="s">
        <v>485</v>
      </c>
      <c r="D187" s="11" t="s">
        <v>2216</v>
      </c>
      <c r="E187" s="394" t="s">
        <v>37</v>
      </c>
      <c r="F187" s="269" t="s">
        <v>2217</v>
      </c>
      <c r="G187" s="240" t="s">
        <v>2039</v>
      </c>
      <c r="H187" s="264" t="str">
        <f t="shared" si="16"/>
        <v/>
      </c>
      <c r="I187" s="396">
        <f>92-I188</f>
        <v>42</v>
      </c>
      <c r="J187" s="396"/>
      <c r="K187" s="396"/>
      <c r="L187" s="396">
        <f t="shared" si="23"/>
        <v>42</v>
      </c>
      <c r="M187" s="396">
        <f t="shared" si="18"/>
        <v>10423.679999999991</v>
      </c>
      <c r="P187"/>
      <c r="Q187"/>
      <c r="R187"/>
      <c r="S187" s="4"/>
      <c r="T187"/>
      <c r="U187" s="397"/>
    </row>
    <row r="188" spans="1:21" x14ac:dyDescent="0.3">
      <c r="A188" s="12"/>
      <c r="B188" s="360">
        <v>45036</v>
      </c>
      <c r="C188" s="105" t="s">
        <v>485</v>
      </c>
      <c r="D188" s="11" t="s">
        <v>2216</v>
      </c>
      <c r="E188" s="394" t="s">
        <v>500</v>
      </c>
      <c r="F188" s="269" t="s">
        <v>2217</v>
      </c>
      <c r="G188" s="240" t="s">
        <v>2039</v>
      </c>
      <c r="H188" s="264" t="str">
        <f t="shared" si="16"/>
        <v/>
      </c>
      <c r="I188" s="396">
        <v>50</v>
      </c>
      <c r="J188" s="396"/>
      <c r="K188" s="396"/>
      <c r="L188" s="396">
        <f t="shared" si="23"/>
        <v>50</v>
      </c>
      <c r="M188" s="396">
        <f t="shared" si="18"/>
        <v>10473.679999999991</v>
      </c>
      <c r="P188"/>
      <c r="Q188"/>
      <c r="R188"/>
      <c r="S188" s="4"/>
      <c r="T188"/>
      <c r="U188" s="397"/>
    </row>
    <row r="189" spans="1:21" x14ac:dyDescent="0.3">
      <c r="A189" s="411" t="s">
        <v>382</v>
      </c>
      <c r="B189" s="360">
        <v>45037</v>
      </c>
      <c r="C189" s="105" t="s">
        <v>485</v>
      </c>
      <c r="D189" s="11" t="s">
        <v>1672</v>
      </c>
      <c r="E189" s="394" t="s">
        <v>11</v>
      </c>
      <c r="F189" s="269" t="s">
        <v>2277</v>
      </c>
      <c r="G189" s="240" t="s">
        <v>2039</v>
      </c>
      <c r="H189" s="264" t="str">
        <f t="shared" si="16"/>
        <v>2023 04 12</v>
      </c>
      <c r="I189" s="396"/>
      <c r="J189" s="396"/>
      <c r="K189" s="396">
        <v>-123.78</v>
      </c>
      <c r="L189" s="396">
        <f t="shared" ref="L189:L194" si="24">I189+K189</f>
        <v>-123.78</v>
      </c>
      <c r="M189" s="396">
        <f t="shared" si="18"/>
        <v>10349.899999999991</v>
      </c>
      <c r="P189"/>
      <c r="Q189"/>
      <c r="R189"/>
      <c r="S189" s="4"/>
      <c r="T189"/>
      <c r="U189" s="397"/>
    </row>
    <row r="190" spans="1:21" x14ac:dyDescent="0.3">
      <c r="A190" s="411" t="s">
        <v>382</v>
      </c>
      <c r="B190" s="360">
        <v>45037</v>
      </c>
      <c r="C190" s="105" t="s">
        <v>485</v>
      </c>
      <c r="D190" s="11" t="s">
        <v>1672</v>
      </c>
      <c r="E190" s="394" t="s">
        <v>11</v>
      </c>
      <c r="F190" s="269" t="s">
        <v>2278</v>
      </c>
      <c r="G190" s="240" t="s">
        <v>2039</v>
      </c>
      <c r="H190" s="264" t="str">
        <f t="shared" si="16"/>
        <v>2023 04 12</v>
      </c>
      <c r="I190" s="396"/>
      <c r="J190" s="396"/>
      <c r="K190" s="396">
        <v>-19.93</v>
      </c>
      <c r="L190" s="396">
        <f t="shared" si="24"/>
        <v>-19.93</v>
      </c>
      <c r="M190" s="396">
        <f t="shared" si="18"/>
        <v>10329.96999999999</v>
      </c>
      <c r="P190"/>
      <c r="Q190"/>
      <c r="R190"/>
      <c r="S190" s="4"/>
      <c r="T190"/>
      <c r="U190" s="397"/>
    </row>
    <row r="191" spans="1:21" x14ac:dyDescent="0.3">
      <c r="A191" s="12"/>
      <c r="B191" s="360">
        <v>45041</v>
      </c>
      <c r="C191" s="105" t="s">
        <v>485</v>
      </c>
      <c r="D191" s="11" t="s">
        <v>2216</v>
      </c>
      <c r="E191" s="394" t="s">
        <v>37</v>
      </c>
      <c r="F191" s="269" t="s">
        <v>2217</v>
      </c>
      <c r="G191" s="240" t="s">
        <v>2039</v>
      </c>
      <c r="H191" s="264" t="str">
        <f t="shared" si="16"/>
        <v/>
      </c>
      <c r="I191" s="396">
        <v>21</v>
      </c>
      <c r="J191" s="396"/>
      <c r="K191" s="396"/>
      <c r="L191" s="396">
        <f t="shared" si="24"/>
        <v>21</v>
      </c>
      <c r="M191" s="396">
        <f t="shared" si="18"/>
        <v>10350.96999999999</v>
      </c>
      <c r="P191"/>
      <c r="Q191"/>
      <c r="R191"/>
      <c r="S191" s="4"/>
      <c r="T191"/>
      <c r="U191" s="397"/>
    </row>
    <row r="192" spans="1:21" x14ac:dyDescent="0.3">
      <c r="A192" s="12"/>
      <c r="B192" s="360">
        <v>45041</v>
      </c>
      <c r="C192" s="105" t="s">
        <v>485</v>
      </c>
      <c r="D192" s="11" t="s">
        <v>2258</v>
      </c>
      <c r="E192" s="394" t="s">
        <v>2116</v>
      </c>
      <c r="F192" s="269" t="s">
        <v>2259</v>
      </c>
      <c r="G192" s="240" t="s">
        <v>2039</v>
      </c>
      <c r="H192" s="264" t="str">
        <f t="shared" si="16"/>
        <v/>
      </c>
      <c r="I192" s="396"/>
      <c r="J192" s="396"/>
      <c r="K192" s="396">
        <v>-50</v>
      </c>
      <c r="L192" s="396">
        <f t="shared" si="24"/>
        <v>-50</v>
      </c>
      <c r="M192" s="396">
        <f t="shared" si="18"/>
        <v>10300.96999999999</v>
      </c>
      <c r="P192"/>
      <c r="Q192"/>
      <c r="R192"/>
      <c r="S192" s="4"/>
      <c r="T192"/>
      <c r="U192" s="397"/>
    </row>
    <row r="193" spans="1:21" x14ac:dyDescent="0.3">
      <c r="A193" s="411" t="s">
        <v>2268</v>
      </c>
      <c r="B193" s="360">
        <v>45046</v>
      </c>
      <c r="C193" s="105" t="s">
        <v>485</v>
      </c>
      <c r="D193" s="11" t="s">
        <v>1845</v>
      </c>
      <c r="E193" s="394" t="s">
        <v>621</v>
      </c>
      <c r="F193" s="269" t="s">
        <v>1846</v>
      </c>
      <c r="G193" s="240" t="s">
        <v>2039</v>
      </c>
      <c r="H193" s="264" t="str">
        <f t="shared" si="16"/>
        <v>2023 04 13</v>
      </c>
      <c r="I193" s="396"/>
      <c r="J193" s="396"/>
      <c r="K193" s="396">
        <v>-10</v>
      </c>
      <c r="L193" s="396">
        <f t="shared" si="24"/>
        <v>-10</v>
      </c>
      <c r="M193" s="396">
        <f t="shared" si="18"/>
        <v>10290.96999999999</v>
      </c>
      <c r="P193"/>
      <c r="Q193"/>
      <c r="R193"/>
      <c r="S193" s="4"/>
      <c r="T193"/>
      <c r="U193" s="397"/>
    </row>
    <row r="194" spans="1:21" x14ac:dyDescent="0.3">
      <c r="A194" s="411" t="s">
        <v>189</v>
      </c>
      <c r="B194" s="360">
        <v>45046</v>
      </c>
      <c r="C194" s="105" t="s">
        <v>485</v>
      </c>
      <c r="D194" s="11" t="s">
        <v>1544</v>
      </c>
      <c r="E194" s="394" t="s">
        <v>12</v>
      </c>
      <c r="F194" s="269" t="s">
        <v>2284</v>
      </c>
      <c r="G194" s="240" t="s">
        <v>2039</v>
      </c>
      <c r="H194" s="264" t="str">
        <f t="shared" si="16"/>
        <v>2023 04 14</v>
      </c>
      <c r="I194" s="396"/>
      <c r="J194" s="396"/>
      <c r="K194" s="396">
        <v>-405</v>
      </c>
      <c r="L194" s="396">
        <f t="shared" si="24"/>
        <v>-405</v>
      </c>
      <c r="M194" s="396">
        <f t="shared" si="18"/>
        <v>9885.9699999999903</v>
      </c>
      <c r="P194"/>
      <c r="Q194"/>
      <c r="R194"/>
      <c r="S194" s="4"/>
      <c r="T194"/>
      <c r="U194" s="397"/>
    </row>
    <row r="195" spans="1:21" x14ac:dyDescent="0.3">
      <c r="A195" s="412"/>
      <c r="B195" s="413"/>
      <c r="C195" s="414" t="s">
        <v>2223</v>
      </c>
      <c r="D195" s="415"/>
      <c r="E195" s="416"/>
      <c r="F195" s="417"/>
      <c r="G195" s="418" t="s">
        <v>2039</v>
      </c>
      <c r="H195" s="419"/>
      <c r="I195" s="420"/>
      <c r="J195" s="420"/>
      <c r="K195" s="420"/>
      <c r="L195" s="420">
        <f t="shared" si="22"/>
        <v>0</v>
      </c>
      <c r="M195" s="420">
        <f t="shared" si="18"/>
        <v>9885.9699999999903</v>
      </c>
      <c r="P195"/>
      <c r="Q195"/>
      <c r="R195"/>
      <c r="S195" s="4"/>
      <c r="T195"/>
    </row>
    <row r="196" spans="1:21" x14ac:dyDescent="0.3">
      <c r="A196" s="12" t="s">
        <v>203</v>
      </c>
      <c r="B196" s="360">
        <v>45070</v>
      </c>
      <c r="C196" s="105" t="s">
        <v>486</v>
      </c>
      <c r="D196" s="11" t="s">
        <v>299</v>
      </c>
      <c r="E196" s="394" t="s">
        <v>301</v>
      </c>
      <c r="F196" s="269" t="s">
        <v>1801</v>
      </c>
      <c r="G196" s="240" t="s">
        <v>2039</v>
      </c>
      <c r="H196" s="264" t="str">
        <f t="shared" si="16"/>
        <v>2023 05 1</v>
      </c>
      <c r="I196" s="396"/>
      <c r="J196" s="396"/>
      <c r="K196" s="396">
        <v>-54.18</v>
      </c>
      <c r="L196" s="396">
        <f t="shared" ref="L196:L221" si="25">I196+K196</f>
        <v>-54.18</v>
      </c>
      <c r="M196" s="396">
        <f t="shared" ref="M196:M252" si="26">+M195+L196</f>
        <v>9831.78999999999</v>
      </c>
      <c r="P196" s="30" t="s">
        <v>2287</v>
      </c>
      <c r="Q196" s="30"/>
      <c r="R196" s="30"/>
      <c r="S196"/>
      <c r="T196"/>
      <c r="U196"/>
    </row>
    <row r="197" spans="1:21" x14ac:dyDescent="0.3">
      <c r="A197" s="12" t="s">
        <v>2320</v>
      </c>
      <c r="B197" s="360">
        <v>45076</v>
      </c>
      <c r="C197" s="105" t="s">
        <v>486</v>
      </c>
      <c r="D197" s="4" t="s">
        <v>607</v>
      </c>
      <c r="E197" s="133" t="s">
        <v>11</v>
      </c>
      <c r="F197" s="120" t="s">
        <v>1802</v>
      </c>
      <c r="G197" s="240" t="s">
        <v>2039</v>
      </c>
      <c r="H197" s="264" t="str">
        <f t="shared" si="16"/>
        <v>2023 05 2</v>
      </c>
      <c r="I197" s="396"/>
      <c r="J197" s="396"/>
      <c r="K197" s="396">
        <v>-24.13</v>
      </c>
      <c r="L197" s="396">
        <f t="shared" si="25"/>
        <v>-24.13</v>
      </c>
      <c r="M197" s="396">
        <f t="shared" si="26"/>
        <v>9807.6599999999908</v>
      </c>
      <c r="P197"/>
      <c r="Q197"/>
      <c r="R197"/>
      <c r="S197"/>
      <c r="T197"/>
      <c r="U197"/>
    </row>
    <row r="198" spans="1:21" x14ac:dyDescent="0.3">
      <c r="A198" s="12" t="s">
        <v>125</v>
      </c>
      <c r="B198" s="360">
        <v>45068</v>
      </c>
      <c r="C198" s="105" t="s">
        <v>486</v>
      </c>
      <c r="D198" s="4" t="s">
        <v>2046</v>
      </c>
      <c r="E198" s="133" t="s">
        <v>12</v>
      </c>
      <c r="F198" s="269" t="s">
        <v>1802</v>
      </c>
      <c r="G198" s="240" t="s">
        <v>2039</v>
      </c>
      <c r="H198" s="264" t="str">
        <f t="shared" si="16"/>
        <v>2023 05 3</v>
      </c>
      <c r="I198" s="396"/>
      <c r="J198" s="396"/>
      <c r="K198" s="396">
        <v>-51.24</v>
      </c>
      <c r="L198" s="396">
        <f t="shared" si="25"/>
        <v>-51.24</v>
      </c>
      <c r="M198" s="396">
        <f t="shared" si="26"/>
        <v>9756.419999999991</v>
      </c>
      <c r="P198" t="s">
        <v>584</v>
      </c>
      <c r="Q198"/>
      <c r="R198"/>
      <c r="S198"/>
      <c r="T198"/>
      <c r="U198" s="396">
        <v>9820.75</v>
      </c>
    </row>
    <row r="199" spans="1:21" x14ac:dyDescent="0.3">
      <c r="A199" s="12" t="s">
        <v>182</v>
      </c>
      <c r="B199" s="360">
        <v>45055</v>
      </c>
      <c r="C199" s="105" t="s">
        <v>486</v>
      </c>
      <c r="D199" s="4" t="s">
        <v>48</v>
      </c>
      <c r="E199" s="133" t="s">
        <v>12</v>
      </c>
      <c r="F199" s="269" t="s">
        <v>1802</v>
      </c>
      <c r="G199" s="240" t="s">
        <v>2039</v>
      </c>
      <c r="H199" s="264" t="str">
        <f t="shared" si="16"/>
        <v>2023 05 4</v>
      </c>
      <c r="I199" s="396"/>
      <c r="J199" s="396"/>
      <c r="K199" s="396">
        <v>-119.68</v>
      </c>
      <c r="L199" s="396">
        <f t="shared" si="25"/>
        <v>-119.68</v>
      </c>
      <c r="M199" s="396">
        <f t="shared" si="26"/>
        <v>9636.7399999999907</v>
      </c>
      <c r="P199"/>
      <c r="Q199"/>
      <c r="R199"/>
      <c r="S199" s="396"/>
      <c r="T199"/>
      <c r="U199" s="396"/>
    </row>
    <row r="200" spans="1:21" x14ac:dyDescent="0.3">
      <c r="A200" s="12" t="s">
        <v>127</v>
      </c>
      <c r="B200" s="360">
        <v>45065</v>
      </c>
      <c r="C200" s="105" t="s">
        <v>486</v>
      </c>
      <c r="D200" s="4" t="s">
        <v>58</v>
      </c>
      <c r="E200" s="133" t="s">
        <v>8</v>
      </c>
      <c r="F200" s="269" t="s">
        <v>486</v>
      </c>
      <c r="G200" s="240" t="s">
        <v>2039</v>
      </c>
      <c r="H200" s="264" t="str">
        <f t="shared" si="16"/>
        <v>2023 05 5</v>
      </c>
      <c r="I200" s="396"/>
      <c r="J200" s="396"/>
      <c r="K200" s="396">
        <v>-103.06</v>
      </c>
      <c r="L200" s="396">
        <f t="shared" si="25"/>
        <v>-103.06</v>
      </c>
      <c r="M200" s="396">
        <f t="shared" si="26"/>
        <v>9533.6799999999912</v>
      </c>
      <c r="P200" t="s">
        <v>1563</v>
      </c>
      <c r="Q200"/>
      <c r="R200"/>
      <c r="S200" s="396">
        <v>-27.5</v>
      </c>
      <c r="T200"/>
      <c r="U200" s="396"/>
    </row>
    <row r="201" spans="1:21" x14ac:dyDescent="0.3">
      <c r="A201" s="12" t="s">
        <v>238</v>
      </c>
      <c r="B201" s="360">
        <v>45065</v>
      </c>
      <c r="C201" s="105" t="s">
        <v>486</v>
      </c>
      <c r="D201" s="4" t="s">
        <v>58</v>
      </c>
      <c r="E201" s="133" t="s">
        <v>9</v>
      </c>
      <c r="F201" s="269" t="s">
        <v>2288</v>
      </c>
      <c r="G201" s="240" t="s">
        <v>2039</v>
      </c>
      <c r="H201" s="264" t="str">
        <f t="shared" si="16"/>
        <v>2023 05 6</v>
      </c>
      <c r="I201" s="396"/>
      <c r="J201" s="396"/>
      <c r="K201" s="396">
        <v>-128.1</v>
      </c>
      <c r="L201" s="396">
        <f t="shared" si="25"/>
        <v>-128.1</v>
      </c>
      <c r="M201" s="396">
        <f t="shared" si="26"/>
        <v>9405.5799999999908</v>
      </c>
      <c r="P201" s="15"/>
      <c r="Q201"/>
      <c r="R201"/>
      <c r="S201" s="396"/>
      <c r="T201"/>
      <c r="U201" s="396"/>
    </row>
    <row r="202" spans="1:21" x14ac:dyDescent="0.3">
      <c r="A202" s="12"/>
      <c r="B202" s="360">
        <v>45048</v>
      </c>
      <c r="C202" s="105" t="s">
        <v>486</v>
      </c>
      <c r="D202" s="11" t="s">
        <v>1870</v>
      </c>
      <c r="E202" s="394" t="s">
        <v>36</v>
      </c>
      <c r="F202" s="269" t="s">
        <v>2309</v>
      </c>
      <c r="G202" s="240" t="s">
        <v>2039</v>
      </c>
      <c r="H202" s="264" t="str">
        <f t="shared" si="16"/>
        <v/>
      </c>
      <c r="I202" s="396">
        <v>40.799999999999997</v>
      </c>
      <c r="J202" s="396"/>
      <c r="K202" s="396"/>
      <c r="L202" s="396">
        <f t="shared" si="25"/>
        <v>40.799999999999997</v>
      </c>
      <c r="M202" s="396">
        <f t="shared" si="26"/>
        <v>9446.3799999999901</v>
      </c>
      <c r="P202" s="15"/>
      <c r="Q202"/>
      <c r="R202"/>
      <c r="S202" s="396"/>
      <c r="T202"/>
      <c r="U202" s="396"/>
    </row>
    <row r="203" spans="1:21" x14ac:dyDescent="0.3">
      <c r="A203" s="12"/>
      <c r="B203" s="360">
        <v>45049</v>
      </c>
      <c r="C203" s="105" t="s">
        <v>486</v>
      </c>
      <c r="D203" s="11" t="s">
        <v>2210</v>
      </c>
      <c r="E203" s="394" t="s">
        <v>37</v>
      </c>
      <c r="F203" s="269" t="s">
        <v>2290</v>
      </c>
      <c r="G203" s="240" t="s">
        <v>2039</v>
      </c>
      <c r="H203" s="264" t="str">
        <f t="shared" si="16"/>
        <v/>
      </c>
      <c r="I203" s="396">
        <v>336</v>
      </c>
      <c r="J203" s="396"/>
      <c r="K203" s="396"/>
      <c r="L203" s="396">
        <f t="shared" si="25"/>
        <v>336</v>
      </c>
      <c r="M203" s="396">
        <f t="shared" si="26"/>
        <v>9782.3799999999901</v>
      </c>
      <c r="P203" s="15"/>
      <c r="Q203"/>
      <c r="R203"/>
      <c r="S203" s="396"/>
      <c r="T203"/>
      <c r="U203" s="396"/>
    </row>
    <row r="204" spans="1:21" x14ac:dyDescent="0.3">
      <c r="A204" s="12" t="s">
        <v>2321</v>
      </c>
      <c r="B204" s="360">
        <v>45049</v>
      </c>
      <c r="C204" s="105" t="s">
        <v>486</v>
      </c>
      <c r="D204" s="11" t="s">
        <v>234</v>
      </c>
      <c r="E204" s="394" t="s">
        <v>40</v>
      </c>
      <c r="F204" s="269" t="s">
        <v>2291</v>
      </c>
      <c r="G204" s="240" t="s">
        <v>2039</v>
      </c>
      <c r="H204" s="264" t="str">
        <f t="shared" si="16"/>
        <v>2023 05 7</v>
      </c>
      <c r="I204" s="396"/>
      <c r="J204" s="396"/>
      <c r="K204" s="396">
        <v>-105</v>
      </c>
      <c r="L204" s="396">
        <f t="shared" si="25"/>
        <v>-105</v>
      </c>
      <c r="M204" s="396">
        <f t="shared" si="26"/>
        <v>9677.3799999999901</v>
      </c>
      <c r="P204" s="11"/>
      <c r="Q204"/>
      <c r="R204"/>
      <c r="S204" s="396"/>
      <c r="T204"/>
      <c r="U204" s="396"/>
    </row>
    <row r="205" spans="1:21" x14ac:dyDescent="0.3">
      <c r="A205" s="12" t="s">
        <v>2322</v>
      </c>
      <c r="B205" s="360">
        <v>45049</v>
      </c>
      <c r="C205" s="105" t="s">
        <v>486</v>
      </c>
      <c r="D205" s="11" t="s">
        <v>234</v>
      </c>
      <c r="E205" s="394" t="s">
        <v>40</v>
      </c>
      <c r="F205" s="269" t="s">
        <v>2292</v>
      </c>
      <c r="G205" s="240" t="s">
        <v>2039</v>
      </c>
      <c r="H205" s="264" t="str">
        <f t="shared" si="16"/>
        <v>2023 05 8</v>
      </c>
      <c r="I205" s="396"/>
      <c r="J205" s="396"/>
      <c r="K205" s="396">
        <v>-60</v>
      </c>
      <c r="L205" s="396">
        <f t="shared" si="25"/>
        <v>-60</v>
      </c>
      <c r="M205" s="396">
        <f t="shared" si="26"/>
        <v>9617.3799999999901</v>
      </c>
      <c r="P205" s="4"/>
      <c r="Q205"/>
      <c r="R205"/>
      <c r="S205" s="396"/>
      <c r="T205"/>
      <c r="U205" s="396"/>
    </row>
    <row r="206" spans="1:21" x14ac:dyDescent="0.3">
      <c r="A206" s="12" t="s">
        <v>115</v>
      </c>
      <c r="B206" s="360">
        <v>45050</v>
      </c>
      <c r="C206" s="105" t="s">
        <v>486</v>
      </c>
      <c r="D206" s="11" t="s">
        <v>234</v>
      </c>
      <c r="E206" s="394" t="s">
        <v>12</v>
      </c>
      <c r="F206" s="269" t="s">
        <v>2226</v>
      </c>
      <c r="G206" s="240" t="s">
        <v>2039</v>
      </c>
      <c r="H206" s="264" t="str">
        <f t="shared" si="16"/>
        <v>2023 05 9</v>
      </c>
      <c r="I206" s="396"/>
      <c r="J206" s="396"/>
      <c r="K206" s="396">
        <v>-9</v>
      </c>
      <c r="L206" s="396">
        <f t="shared" si="25"/>
        <v>-9</v>
      </c>
      <c r="M206" s="396">
        <f t="shared" si="26"/>
        <v>9608.3799999999901</v>
      </c>
      <c r="P206" s="11"/>
      <c r="S206" s="396"/>
      <c r="T206"/>
      <c r="U206" s="396"/>
    </row>
    <row r="207" spans="1:21" x14ac:dyDescent="0.3">
      <c r="A207" s="12"/>
      <c r="B207" s="360">
        <v>45055</v>
      </c>
      <c r="C207" s="105" t="s">
        <v>486</v>
      </c>
      <c r="D207" s="11" t="s">
        <v>2198</v>
      </c>
      <c r="E207" s="394" t="s">
        <v>36</v>
      </c>
      <c r="F207" s="269"/>
      <c r="G207" s="240" t="s">
        <v>2039</v>
      </c>
      <c r="H207" s="264" t="str">
        <f t="shared" si="16"/>
        <v/>
      </c>
      <c r="I207" s="396">
        <v>29.33</v>
      </c>
      <c r="J207" s="396"/>
      <c r="K207" s="396"/>
      <c r="L207" s="396">
        <f t="shared" si="25"/>
        <v>29.33</v>
      </c>
      <c r="M207" s="396">
        <f t="shared" si="26"/>
        <v>9637.70999999999</v>
      </c>
      <c r="P207" s="11"/>
      <c r="S207" s="396"/>
      <c r="T207"/>
      <c r="U207" s="396"/>
    </row>
    <row r="208" spans="1:21" x14ac:dyDescent="0.3">
      <c r="A208" s="12"/>
      <c r="B208" s="360">
        <v>45057</v>
      </c>
      <c r="C208" s="105" t="s">
        <v>486</v>
      </c>
      <c r="D208" s="11" t="s">
        <v>1845</v>
      </c>
      <c r="E208" s="394" t="s">
        <v>621</v>
      </c>
      <c r="F208" s="269" t="s">
        <v>2293</v>
      </c>
      <c r="G208" s="240" t="s">
        <v>2039</v>
      </c>
      <c r="H208" s="264" t="str">
        <f t="shared" si="16"/>
        <v/>
      </c>
      <c r="I208" s="396"/>
      <c r="J208" s="396"/>
      <c r="K208" s="396">
        <v>-250</v>
      </c>
      <c r="L208" s="396">
        <f t="shared" si="25"/>
        <v>-250</v>
      </c>
      <c r="M208" s="396">
        <f t="shared" si="26"/>
        <v>9387.70999999999</v>
      </c>
      <c r="P208"/>
      <c r="Q208"/>
      <c r="R208"/>
      <c r="S208" s="125"/>
      <c r="T208"/>
      <c r="U208" s="396"/>
    </row>
    <row r="209" spans="1:21" x14ac:dyDescent="0.3">
      <c r="A209" s="12"/>
      <c r="B209" s="360">
        <v>45057</v>
      </c>
      <c r="C209" s="105" t="s">
        <v>486</v>
      </c>
      <c r="D209" s="262" t="s">
        <v>2294</v>
      </c>
      <c r="E209" s="394" t="s">
        <v>37</v>
      </c>
      <c r="F209" s="269" t="s">
        <v>2304</v>
      </c>
      <c r="G209" s="240" t="s">
        <v>2039</v>
      </c>
      <c r="H209" s="264" t="str">
        <f t="shared" si="16"/>
        <v/>
      </c>
      <c r="I209" s="396">
        <v>50</v>
      </c>
      <c r="J209" s="396"/>
      <c r="K209" s="396"/>
      <c r="L209" s="396">
        <f t="shared" si="25"/>
        <v>50</v>
      </c>
      <c r="M209" s="396">
        <f t="shared" si="26"/>
        <v>9437.70999999999</v>
      </c>
      <c r="P209"/>
      <c r="Q209"/>
      <c r="R209"/>
      <c r="S209" s="4"/>
      <c r="T209"/>
      <c r="U209" s="396">
        <f>SUM(S199:S208)</f>
        <v>-27.5</v>
      </c>
    </row>
    <row r="210" spans="1:21" x14ac:dyDescent="0.3">
      <c r="A210" s="12"/>
      <c r="B210" s="360">
        <v>45057</v>
      </c>
      <c r="C210" s="105" t="s">
        <v>486</v>
      </c>
      <c r="D210" s="11" t="s">
        <v>2098</v>
      </c>
      <c r="E210" s="394" t="s">
        <v>2098</v>
      </c>
      <c r="F210" s="269"/>
      <c r="G210" s="240" t="s">
        <v>2039</v>
      </c>
      <c r="H210" s="264" t="str">
        <f t="shared" si="16"/>
        <v/>
      </c>
      <c r="I210" s="396">
        <f>922.79-I211</f>
        <v>754.19999999999993</v>
      </c>
      <c r="J210" s="396"/>
      <c r="K210" s="396"/>
      <c r="L210" s="396">
        <f t="shared" si="25"/>
        <v>754.19999999999993</v>
      </c>
      <c r="M210" s="396">
        <f t="shared" si="26"/>
        <v>10191.909999999991</v>
      </c>
      <c r="P210"/>
      <c r="Q210"/>
      <c r="R210"/>
      <c r="S210" s="4"/>
      <c r="T210"/>
      <c r="U210" s="396"/>
    </row>
    <row r="211" spans="1:21" x14ac:dyDescent="0.3">
      <c r="A211" s="12"/>
      <c r="B211" s="360">
        <v>45057</v>
      </c>
      <c r="C211" s="105" t="s">
        <v>486</v>
      </c>
      <c r="D211" s="11" t="s">
        <v>142</v>
      </c>
      <c r="E211" s="394" t="s">
        <v>36</v>
      </c>
      <c r="F211" s="269"/>
      <c r="G211" s="240" t="s">
        <v>2039</v>
      </c>
      <c r="H211" s="264" t="str">
        <f t="shared" si="16"/>
        <v/>
      </c>
      <c r="I211" s="396">
        <v>168.59</v>
      </c>
      <c r="J211" s="396"/>
      <c r="K211" s="396"/>
      <c r="L211" s="396">
        <f t="shared" si="25"/>
        <v>168.59</v>
      </c>
      <c r="M211" s="396">
        <f t="shared" si="26"/>
        <v>10360.499999999991</v>
      </c>
      <c r="P211"/>
      <c r="Q211"/>
      <c r="R211"/>
      <c r="S211" s="4"/>
      <c r="T211"/>
      <c r="U211" s="397">
        <f>U198+U209</f>
        <v>9793.25</v>
      </c>
    </row>
    <row r="212" spans="1:21" x14ac:dyDescent="0.3">
      <c r="A212" s="12" t="s">
        <v>2260</v>
      </c>
      <c r="B212" s="360">
        <v>45058</v>
      </c>
      <c r="C212" s="105" t="s">
        <v>486</v>
      </c>
      <c r="D212" s="11" t="s">
        <v>1394</v>
      </c>
      <c r="E212" s="394" t="s">
        <v>13</v>
      </c>
      <c r="F212" s="269"/>
      <c r="G212" s="240" t="s">
        <v>2039</v>
      </c>
      <c r="H212" s="264" t="str">
        <f t="shared" si="16"/>
        <v>2023 05 10</v>
      </c>
      <c r="I212" s="396"/>
      <c r="J212" s="396"/>
      <c r="K212" s="396">
        <v>-35</v>
      </c>
      <c r="L212" s="396">
        <f t="shared" si="25"/>
        <v>-35</v>
      </c>
      <c r="M212" s="396">
        <f t="shared" si="26"/>
        <v>10325.499999999991</v>
      </c>
      <c r="P212"/>
      <c r="Q212"/>
      <c r="R212"/>
      <c r="S212" s="4"/>
      <c r="T212"/>
      <c r="U212" s="396">
        <f>VLOOKUP("May End",C:M,11,FALSE)-U211</f>
        <v>0</v>
      </c>
    </row>
    <row r="213" spans="1:21" x14ac:dyDescent="0.3">
      <c r="A213" s="12"/>
      <c r="B213" s="360">
        <v>45060</v>
      </c>
      <c r="C213" s="105" t="s">
        <v>486</v>
      </c>
      <c r="D213" s="11" t="s">
        <v>2216</v>
      </c>
      <c r="E213" s="394" t="s">
        <v>2116</v>
      </c>
      <c r="F213" s="269"/>
      <c r="G213" s="240" t="s">
        <v>2039</v>
      </c>
      <c r="H213" s="264" t="str">
        <f t="shared" si="16"/>
        <v/>
      </c>
      <c r="I213" s="396"/>
      <c r="J213" s="396"/>
      <c r="K213" s="396">
        <v>-50</v>
      </c>
      <c r="L213" s="396">
        <f t="shared" si="25"/>
        <v>-50</v>
      </c>
      <c r="M213" s="396">
        <f t="shared" si="26"/>
        <v>10275.499999999991</v>
      </c>
      <c r="P213"/>
      <c r="Q213"/>
      <c r="R213"/>
      <c r="S213" s="4"/>
      <c r="T213"/>
    </row>
    <row r="214" spans="1:21" x14ac:dyDescent="0.3">
      <c r="A214" s="12"/>
      <c r="B214" s="360">
        <v>45069</v>
      </c>
      <c r="C214" s="105" t="s">
        <v>486</v>
      </c>
      <c r="D214" s="11" t="s">
        <v>166</v>
      </c>
      <c r="E214" s="394" t="s">
        <v>36</v>
      </c>
      <c r="F214" s="269"/>
      <c r="G214" s="240" t="s">
        <v>2039</v>
      </c>
      <c r="H214" s="264" t="str">
        <f t="shared" si="16"/>
        <v/>
      </c>
      <c r="I214" s="396">
        <v>330.75</v>
      </c>
      <c r="J214" s="396"/>
      <c r="K214" s="396"/>
      <c r="L214" s="396">
        <f t="shared" si="25"/>
        <v>330.75</v>
      </c>
      <c r="M214" s="396">
        <f t="shared" si="26"/>
        <v>10606.249999999991</v>
      </c>
      <c r="P214"/>
      <c r="Q214"/>
      <c r="R214"/>
      <c r="S214" s="4"/>
      <c r="T214"/>
    </row>
    <row r="215" spans="1:21" x14ac:dyDescent="0.3">
      <c r="A215" s="12"/>
      <c r="B215" s="360">
        <v>45065</v>
      </c>
      <c r="C215" s="105" t="s">
        <v>486</v>
      </c>
      <c r="D215" s="11" t="s">
        <v>2302</v>
      </c>
      <c r="E215" s="394" t="s">
        <v>37</v>
      </c>
      <c r="F215" s="269"/>
      <c r="G215" s="240" t="s">
        <v>2039</v>
      </c>
      <c r="H215" s="264" t="str">
        <f t="shared" si="16"/>
        <v/>
      </c>
      <c r="I215" s="396">
        <f>71-I216</f>
        <v>21</v>
      </c>
      <c r="J215" s="396"/>
      <c r="K215" s="396"/>
      <c r="L215" s="396">
        <f t="shared" si="25"/>
        <v>21</v>
      </c>
      <c r="M215" s="396">
        <f t="shared" si="26"/>
        <v>10627.249999999991</v>
      </c>
      <c r="P215"/>
      <c r="Q215"/>
      <c r="R215"/>
      <c r="S215" s="4"/>
      <c r="T215"/>
    </row>
    <row r="216" spans="1:21" x14ac:dyDescent="0.3">
      <c r="A216" s="12"/>
      <c r="B216" s="360">
        <v>45065</v>
      </c>
      <c r="C216" s="105" t="s">
        <v>486</v>
      </c>
      <c r="D216" s="11" t="s">
        <v>2302</v>
      </c>
      <c r="E216" s="394" t="s">
        <v>500</v>
      </c>
      <c r="F216" s="269"/>
      <c r="G216" s="240" t="s">
        <v>2039</v>
      </c>
      <c r="H216" s="264" t="str">
        <f t="shared" si="16"/>
        <v/>
      </c>
      <c r="I216" s="396">
        <v>50</v>
      </c>
      <c r="J216" s="396"/>
      <c r="K216" s="396"/>
      <c r="L216" s="396">
        <f t="shared" si="25"/>
        <v>50</v>
      </c>
      <c r="M216" s="396">
        <f t="shared" si="26"/>
        <v>10677.249999999991</v>
      </c>
      <c r="P216"/>
      <c r="Q216"/>
      <c r="R216"/>
      <c r="S216" s="4"/>
      <c r="T216"/>
    </row>
    <row r="217" spans="1:21" x14ac:dyDescent="0.3">
      <c r="A217" s="12"/>
      <c r="B217" s="360">
        <v>45062</v>
      </c>
      <c r="C217" s="105" t="s">
        <v>486</v>
      </c>
      <c r="D217" s="11" t="s">
        <v>1977</v>
      </c>
      <c r="E217" s="394" t="s">
        <v>37</v>
      </c>
      <c r="F217" s="269" t="s">
        <v>2301</v>
      </c>
      <c r="G217" s="240" t="s">
        <v>2039</v>
      </c>
      <c r="H217" s="264" t="str">
        <f t="shared" si="16"/>
        <v/>
      </c>
      <c r="I217" s="396">
        <v>24</v>
      </c>
      <c r="J217" s="396"/>
      <c r="K217" s="396"/>
      <c r="L217" s="396">
        <f t="shared" si="25"/>
        <v>24</v>
      </c>
      <c r="M217" s="396">
        <f t="shared" si="26"/>
        <v>10701.249999999991</v>
      </c>
      <c r="P217"/>
      <c r="Q217"/>
      <c r="R217"/>
      <c r="S217" s="4"/>
      <c r="T217"/>
    </row>
    <row r="218" spans="1:21" x14ac:dyDescent="0.3">
      <c r="A218" s="12" t="s">
        <v>139</v>
      </c>
      <c r="B218" s="360">
        <v>45077</v>
      </c>
      <c r="C218" s="105" t="s">
        <v>486</v>
      </c>
      <c r="D218" s="11" t="s">
        <v>380</v>
      </c>
      <c r="E218" s="394" t="s">
        <v>40</v>
      </c>
      <c r="F218" s="269" t="s">
        <v>2300</v>
      </c>
      <c r="G218" s="240" t="s">
        <v>2039</v>
      </c>
      <c r="H218" s="264" t="str">
        <f t="shared" ref="H218:H223" si="27">IF(A218&lt;&gt;"","2023 0"&amp;MONTH(B218)&amp;" "&amp;A218,"")</f>
        <v>2023 05 11</v>
      </c>
      <c r="I218" s="396"/>
      <c r="J218" s="396"/>
      <c r="K218" s="396">
        <v>-53</v>
      </c>
      <c r="L218" s="396">
        <f t="shared" si="25"/>
        <v>-53</v>
      </c>
      <c r="M218" s="396">
        <f t="shared" si="26"/>
        <v>10648.249999999991</v>
      </c>
      <c r="P218"/>
      <c r="Q218"/>
      <c r="R218"/>
      <c r="S218" s="4"/>
      <c r="T218"/>
    </row>
    <row r="219" spans="1:21" x14ac:dyDescent="0.3">
      <c r="A219" s="12" t="s">
        <v>382</v>
      </c>
      <c r="B219" s="360">
        <v>45077</v>
      </c>
      <c r="C219" s="105" t="s">
        <v>486</v>
      </c>
      <c r="D219" s="11" t="s">
        <v>1544</v>
      </c>
      <c r="E219" s="394" t="s">
        <v>12</v>
      </c>
      <c r="F219" s="269" t="s">
        <v>2299</v>
      </c>
      <c r="G219" s="240" t="s">
        <v>2039</v>
      </c>
      <c r="H219" s="264" t="str">
        <f t="shared" si="27"/>
        <v>2023 05 12</v>
      </c>
      <c r="I219" s="396"/>
      <c r="J219" s="396"/>
      <c r="K219" s="396">
        <v>-690</v>
      </c>
      <c r="L219" s="396">
        <f t="shared" si="25"/>
        <v>-690</v>
      </c>
      <c r="M219" s="396">
        <f t="shared" si="26"/>
        <v>9958.2499999999909</v>
      </c>
      <c r="P219"/>
      <c r="Q219"/>
      <c r="R219"/>
      <c r="S219" s="4"/>
      <c r="T219"/>
    </row>
    <row r="220" spans="1:21" x14ac:dyDescent="0.3">
      <c r="A220" s="12" t="s">
        <v>2268</v>
      </c>
      <c r="B220" s="360">
        <v>45077</v>
      </c>
      <c r="C220" s="105" t="s">
        <v>486</v>
      </c>
      <c r="D220" s="11" t="s">
        <v>1563</v>
      </c>
      <c r="E220" s="394" t="s">
        <v>40</v>
      </c>
      <c r="F220" s="269" t="s">
        <v>2296</v>
      </c>
      <c r="G220" s="240" t="s">
        <v>2039</v>
      </c>
      <c r="H220" s="264" t="str">
        <f t="shared" si="27"/>
        <v>2023 05 13</v>
      </c>
      <c r="I220" s="396"/>
      <c r="J220" s="396"/>
      <c r="K220" s="396">
        <v>-32.5</v>
      </c>
      <c r="L220" s="396">
        <f t="shared" si="25"/>
        <v>-32.5</v>
      </c>
      <c r="M220" s="396">
        <f t="shared" si="26"/>
        <v>9925.7499999999909</v>
      </c>
      <c r="P220"/>
      <c r="Q220"/>
      <c r="R220"/>
      <c r="S220" s="4"/>
      <c r="T220"/>
    </row>
    <row r="221" spans="1:21" x14ac:dyDescent="0.3">
      <c r="A221" s="12" t="s">
        <v>189</v>
      </c>
      <c r="B221" s="360">
        <v>45077</v>
      </c>
      <c r="C221" s="105" t="s">
        <v>486</v>
      </c>
      <c r="D221" s="11" t="s">
        <v>1563</v>
      </c>
      <c r="E221" s="394" t="s">
        <v>40</v>
      </c>
      <c r="F221" s="269" t="s">
        <v>2297</v>
      </c>
      <c r="G221" s="240" t="s">
        <v>2039</v>
      </c>
      <c r="H221" s="264" t="str">
        <f t="shared" si="27"/>
        <v>2023 05 14</v>
      </c>
      <c r="I221" s="396"/>
      <c r="J221" s="396"/>
      <c r="K221" s="396">
        <v>-65</v>
      </c>
      <c r="L221" s="396">
        <f t="shared" si="25"/>
        <v>-65</v>
      </c>
      <c r="M221" s="396">
        <f t="shared" si="26"/>
        <v>9860.7499999999909</v>
      </c>
      <c r="P221"/>
      <c r="Q221"/>
      <c r="R221"/>
      <c r="S221" s="4"/>
      <c r="T221"/>
    </row>
    <row r="222" spans="1:21" x14ac:dyDescent="0.3">
      <c r="A222" s="12" t="s">
        <v>1837</v>
      </c>
      <c r="B222" s="360">
        <v>45077</v>
      </c>
      <c r="C222" s="105" t="s">
        <v>486</v>
      </c>
      <c r="D222" s="11" t="s">
        <v>1563</v>
      </c>
      <c r="E222" s="394" t="s">
        <v>40</v>
      </c>
      <c r="F222" s="269" t="s">
        <v>2298</v>
      </c>
      <c r="G222" s="240" t="s">
        <v>2039</v>
      </c>
      <c r="H222" s="264" t="str">
        <f t="shared" si="27"/>
        <v>2023 05 15</v>
      </c>
      <c r="I222" s="396"/>
      <c r="J222" s="396"/>
      <c r="K222" s="396">
        <v>-40</v>
      </c>
      <c r="L222" s="396">
        <f t="shared" ref="L222:L225" si="28">I222+K222</f>
        <v>-40</v>
      </c>
      <c r="M222" s="396">
        <f t="shared" si="26"/>
        <v>9820.7499999999909</v>
      </c>
      <c r="P222"/>
      <c r="Q222"/>
      <c r="R222"/>
      <c r="S222" s="4"/>
      <c r="T222"/>
    </row>
    <row r="223" spans="1:21" x14ac:dyDescent="0.3">
      <c r="A223" s="412"/>
      <c r="B223" s="413">
        <v>45079</v>
      </c>
      <c r="C223" s="414" t="s">
        <v>486</v>
      </c>
      <c r="D223" s="415" t="s">
        <v>1563</v>
      </c>
      <c r="E223" s="416" t="s">
        <v>40</v>
      </c>
      <c r="F223" s="419" t="s">
        <v>2306</v>
      </c>
      <c r="G223" s="418" t="s">
        <v>2039</v>
      </c>
      <c r="H223" s="421" t="str">
        <f t="shared" si="27"/>
        <v/>
      </c>
      <c r="I223" s="420"/>
      <c r="J223" s="420"/>
      <c r="K223" s="420">
        <v>-27.5</v>
      </c>
      <c r="L223" s="420">
        <f t="shared" ref="L223" si="29">I223+K223</f>
        <v>-27.5</v>
      </c>
      <c r="M223" s="420">
        <f t="shared" si="26"/>
        <v>9793.2499999999909</v>
      </c>
      <c r="P223"/>
      <c r="Q223"/>
      <c r="R223"/>
      <c r="S223" s="4"/>
      <c r="T223"/>
    </row>
    <row r="224" spans="1:21" x14ac:dyDescent="0.3">
      <c r="A224" s="12"/>
      <c r="C224" s="105" t="s">
        <v>2286</v>
      </c>
      <c r="D224" s="11"/>
      <c r="E224" s="394"/>
      <c r="F224" s="269"/>
      <c r="G224" s="240" t="s">
        <v>2039</v>
      </c>
      <c r="H224" s="264"/>
      <c r="I224" s="396"/>
      <c r="J224" s="396"/>
      <c r="K224" s="396"/>
      <c r="L224" s="396">
        <f t="shared" si="28"/>
        <v>0</v>
      </c>
      <c r="M224" s="396">
        <f t="shared" si="26"/>
        <v>9793.2499999999909</v>
      </c>
      <c r="P224"/>
      <c r="Q224"/>
      <c r="R224"/>
      <c r="S224" s="4"/>
      <c r="T224"/>
    </row>
    <row r="225" spans="1:21" x14ac:dyDescent="0.3">
      <c r="A225" s="12"/>
      <c r="B225" s="360">
        <v>45103</v>
      </c>
      <c r="C225" s="105" t="s">
        <v>487</v>
      </c>
      <c r="D225" s="11" t="s">
        <v>299</v>
      </c>
      <c r="E225" s="394" t="s">
        <v>301</v>
      </c>
      <c r="F225" s="269" t="s">
        <v>1801</v>
      </c>
      <c r="G225" s="240" t="s">
        <v>2039</v>
      </c>
      <c r="H225" s="264"/>
      <c r="I225" s="396"/>
      <c r="J225" s="396"/>
      <c r="K225" s="396">
        <v>-54.18</v>
      </c>
      <c r="L225" s="396">
        <f t="shared" si="28"/>
        <v>-54.18</v>
      </c>
      <c r="M225" s="396">
        <f t="shared" si="26"/>
        <v>9739.0699999999906</v>
      </c>
      <c r="P225" s="30" t="s">
        <v>2305</v>
      </c>
      <c r="Q225" s="30"/>
      <c r="R225" s="30"/>
      <c r="S225"/>
      <c r="T225"/>
      <c r="U225"/>
    </row>
    <row r="226" spans="1:21" x14ac:dyDescent="0.3">
      <c r="A226" s="12"/>
      <c r="B226" s="360">
        <v>45104</v>
      </c>
      <c r="C226" s="105" t="s">
        <v>487</v>
      </c>
      <c r="D226" s="4" t="s">
        <v>607</v>
      </c>
      <c r="E226" s="133" t="s">
        <v>11</v>
      </c>
      <c r="F226" s="120" t="s">
        <v>1802</v>
      </c>
      <c r="G226" s="240" t="s">
        <v>2039</v>
      </c>
      <c r="H226" s="264"/>
      <c r="I226" s="396"/>
      <c r="J226" s="396"/>
      <c r="K226" s="396">
        <v>-24.13</v>
      </c>
      <c r="L226" s="396">
        <f t="shared" ref="L226:L245" si="30">I226+K226</f>
        <v>-24.13</v>
      </c>
      <c r="M226" s="396">
        <f t="shared" si="26"/>
        <v>9714.9399999999914</v>
      </c>
      <c r="P226"/>
      <c r="Q226"/>
      <c r="R226"/>
      <c r="S226"/>
      <c r="T226"/>
      <c r="U226"/>
    </row>
    <row r="227" spans="1:21" x14ac:dyDescent="0.3">
      <c r="A227" s="12"/>
      <c r="B227" s="360">
        <v>45097</v>
      </c>
      <c r="C227" s="105" t="s">
        <v>487</v>
      </c>
      <c r="D227" s="4" t="s">
        <v>2046</v>
      </c>
      <c r="E227" s="133" t="s">
        <v>12</v>
      </c>
      <c r="F227" s="269" t="s">
        <v>1802</v>
      </c>
      <c r="G227" s="240" t="s">
        <v>2039</v>
      </c>
      <c r="H227" s="264"/>
      <c r="I227" s="396"/>
      <c r="J227" s="396"/>
      <c r="K227" s="396">
        <v>-73.98</v>
      </c>
      <c r="L227" s="396">
        <f t="shared" si="30"/>
        <v>-73.98</v>
      </c>
      <c r="M227" s="396">
        <f t="shared" si="26"/>
        <v>9640.9599999999919</v>
      </c>
      <c r="P227" t="s">
        <v>584</v>
      </c>
      <c r="Q227"/>
      <c r="R227"/>
      <c r="S227"/>
      <c r="T227"/>
      <c r="U227" s="396">
        <f>10091.5-40.8</f>
        <v>10050.700000000001</v>
      </c>
    </row>
    <row r="228" spans="1:21" x14ac:dyDescent="0.3">
      <c r="A228" s="12"/>
      <c r="B228" s="360">
        <v>45084</v>
      </c>
      <c r="C228" s="105" t="s">
        <v>487</v>
      </c>
      <c r="D228" s="4" t="s">
        <v>48</v>
      </c>
      <c r="E228" s="133" t="s">
        <v>12</v>
      </c>
      <c r="F228" s="269" t="s">
        <v>1802</v>
      </c>
      <c r="G228" s="240" t="s">
        <v>2039</v>
      </c>
      <c r="H228" s="264"/>
      <c r="I228" s="396"/>
      <c r="J228" s="396"/>
      <c r="K228" s="396">
        <v>-119.68</v>
      </c>
      <c r="L228" s="396">
        <f t="shared" si="30"/>
        <v>-119.68</v>
      </c>
      <c r="M228" s="396">
        <f t="shared" si="26"/>
        <v>9521.2799999999916</v>
      </c>
      <c r="P228"/>
      <c r="Q228"/>
      <c r="R228"/>
      <c r="S228" s="396"/>
      <c r="T228"/>
      <c r="U228" s="396"/>
    </row>
    <row r="229" spans="1:21" x14ac:dyDescent="0.3">
      <c r="A229" s="12"/>
      <c r="B229" s="360">
        <v>45097</v>
      </c>
      <c r="C229" s="105" t="s">
        <v>487</v>
      </c>
      <c r="D229" s="4" t="s">
        <v>58</v>
      </c>
      <c r="E229" s="133" t="s">
        <v>8</v>
      </c>
      <c r="F229" s="269" t="s">
        <v>486</v>
      </c>
      <c r="G229" s="240" t="s">
        <v>2039</v>
      </c>
      <c r="H229" s="264"/>
      <c r="I229" s="396"/>
      <c r="J229" s="396"/>
      <c r="K229" s="396">
        <v>-65.92</v>
      </c>
      <c r="L229" s="396">
        <f t="shared" si="30"/>
        <v>-65.92</v>
      </c>
      <c r="M229" s="396">
        <f t="shared" si="26"/>
        <v>9455.3599999999915</v>
      </c>
      <c r="P229"/>
      <c r="Q229"/>
      <c r="R229"/>
      <c r="S229" s="396"/>
      <c r="T229"/>
      <c r="U229" s="396"/>
    </row>
    <row r="230" spans="1:21" x14ac:dyDescent="0.3">
      <c r="A230" s="12"/>
      <c r="B230" s="360">
        <v>45089</v>
      </c>
      <c r="C230" s="105" t="s">
        <v>487</v>
      </c>
      <c r="D230" s="4" t="s">
        <v>58</v>
      </c>
      <c r="E230" s="133" t="s">
        <v>9</v>
      </c>
      <c r="F230" s="269" t="s">
        <v>2288</v>
      </c>
      <c r="G230" s="240" t="s">
        <v>2039</v>
      </c>
      <c r="H230" s="264"/>
      <c r="I230" s="396"/>
      <c r="J230" s="396"/>
      <c r="K230" s="396">
        <v>-82.77</v>
      </c>
      <c r="L230" s="396">
        <f t="shared" si="30"/>
        <v>-82.77</v>
      </c>
      <c r="M230" s="396">
        <f t="shared" si="26"/>
        <v>9372.5899999999911</v>
      </c>
      <c r="P230" s="15" t="s">
        <v>1546</v>
      </c>
      <c r="Q230"/>
      <c r="R230"/>
      <c r="S230" s="396">
        <v>-420</v>
      </c>
      <c r="T230"/>
      <c r="U230" s="396"/>
    </row>
    <row r="231" spans="1:21" x14ac:dyDescent="0.3">
      <c r="A231" s="12"/>
      <c r="B231" s="360">
        <v>45078</v>
      </c>
      <c r="C231" s="105" t="s">
        <v>487</v>
      </c>
      <c r="D231" s="11" t="s">
        <v>1870</v>
      </c>
      <c r="E231" s="394" t="s">
        <v>36</v>
      </c>
      <c r="F231" s="269" t="s">
        <v>2329</v>
      </c>
      <c r="G231" s="240" t="s">
        <v>2039</v>
      </c>
      <c r="H231" s="264"/>
      <c r="I231" s="396">
        <v>36</v>
      </c>
      <c r="J231" s="396"/>
      <c r="K231" s="396"/>
      <c r="L231" s="396">
        <f t="shared" si="30"/>
        <v>36</v>
      </c>
      <c r="M231" s="396">
        <f t="shared" si="26"/>
        <v>9408.5899999999911</v>
      </c>
      <c r="P231" s="15"/>
      <c r="Q231"/>
      <c r="R231"/>
      <c r="S231" s="396"/>
      <c r="T231"/>
      <c r="U231" s="396"/>
    </row>
    <row r="232" spans="1:21" x14ac:dyDescent="0.3">
      <c r="A232" s="12"/>
      <c r="B232" s="360">
        <v>45079</v>
      </c>
      <c r="C232" s="105" t="s">
        <v>487</v>
      </c>
      <c r="D232" s="11" t="s">
        <v>2307</v>
      </c>
      <c r="E232" s="394" t="s">
        <v>37</v>
      </c>
      <c r="F232" s="269"/>
      <c r="G232" s="240" t="s">
        <v>2039</v>
      </c>
      <c r="H232" s="264"/>
      <c r="I232" s="396">
        <v>84</v>
      </c>
      <c r="J232" s="396"/>
      <c r="K232" s="396"/>
      <c r="L232" s="396">
        <f t="shared" si="30"/>
        <v>84</v>
      </c>
      <c r="M232" s="396">
        <f t="shared" si="26"/>
        <v>9492.5899999999911</v>
      </c>
      <c r="P232" s="15"/>
      <c r="Q232"/>
      <c r="R232"/>
      <c r="S232" s="396"/>
      <c r="T232"/>
      <c r="U232" s="396"/>
    </row>
    <row r="233" spans="1:21" x14ac:dyDescent="0.3">
      <c r="A233" s="12"/>
      <c r="B233" s="360">
        <v>45079</v>
      </c>
      <c r="C233" s="105" t="s">
        <v>487</v>
      </c>
      <c r="D233" s="11" t="s">
        <v>2307</v>
      </c>
      <c r="E233" s="394" t="s">
        <v>499</v>
      </c>
      <c r="F233" s="269"/>
      <c r="G233" s="240" t="s">
        <v>2039</v>
      </c>
      <c r="H233" s="264"/>
      <c r="I233" s="396">
        <v>50</v>
      </c>
      <c r="J233" s="396"/>
      <c r="K233" s="396"/>
      <c r="L233" s="396">
        <f t="shared" si="30"/>
        <v>50</v>
      </c>
      <c r="M233" s="396">
        <f t="shared" si="26"/>
        <v>9542.5899999999911</v>
      </c>
      <c r="P233" s="11"/>
      <c r="Q233"/>
      <c r="R233"/>
      <c r="S233" s="396"/>
      <c r="T233"/>
      <c r="U233" s="396"/>
    </row>
    <row r="234" spans="1:21" x14ac:dyDescent="0.3">
      <c r="A234" s="12"/>
      <c r="B234" s="360">
        <v>45084</v>
      </c>
      <c r="C234" s="105" t="s">
        <v>487</v>
      </c>
      <c r="D234" s="11" t="s">
        <v>1845</v>
      </c>
      <c r="E234" s="394" t="s">
        <v>621</v>
      </c>
      <c r="F234" s="269" t="s">
        <v>1846</v>
      </c>
      <c r="G234" s="240" t="s">
        <v>2039</v>
      </c>
      <c r="H234" s="264"/>
      <c r="I234" s="396"/>
      <c r="J234" s="396"/>
      <c r="K234" s="396">
        <v>-10</v>
      </c>
      <c r="L234" s="396">
        <f t="shared" si="30"/>
        <v>-10</v>
      </c>
      <c r="M234" s="396">
        <f t="shared" si="26"/>
        <v>9532.5899999999911</v>
      </c>
      <c r="P234" s="4"/>
      <c r="Q234"/>
      <c r="R234"/>
      <c r="S234" s="396"/>
      <c r="T234"/>
      <c r="U234" s="396"/>
    </row>
    <row r="235" spans="1:21" x14ac:dyDescent="0.3">
      <c r="A235" s="12"/>
      <c r="B235" s="360">
        <v>45082</v>
      </c>
      <c r="C235" s="105" t="s">
        <v>487</v>
      </c>
      <c r="D235" s="262" t="s">
        <v>2294</v>
      </c>
      <c r="E235" s="394" t="s">
        <v>37</v>
      </c>
      <c r="F235" s="269" t="s">
        <v>2304</v>
      </c>
      <c r="G235" s="240" t="s">
        <v>2039</v>
      </c>
      <c r="H235" s="264"/>
      <c r="I235" s="396">
        <f>33-I236</f>
        <v>13</v>
      </c>
      <c r="J235" s="396"/>
      <c r="K235" s="396"/>
      <c r="L235" s="396">
        <f t="shared" si="30"/>
        <v>13</v>
      </c>
      <c r="M235" s="396">
        <f t="shared" si="26"/>
        <v>9545.5899999999911</v>
      </c>
      <c r="P235" s="11"/>
      <c r="S235" s="396"/>
      <c r="T235"/>
      <c r="U235" s="396"/>
    </row>
    <row r="236" spans="1:21" x14ac:dyDescent="0.3">
      <c r="A236" s="12"/>
      <c r="B236" s="360">
        <v>45082</v>
      </c>
      <c r="C236" s="105" t="s">
        <v>487</v>
      </c>
      <c r="D236" s="262" t="s">
        <v>2294</v>
      </c>
      <c r="E236" s="394" t="s">
        <v>37</v>
      </c>
      <c r="F236" s="269" t="s">
        <v>2304</v>
      </c>
      <c r="G236" s="240" t="s">
        <v>2039</v>
      </c>
      <c r="H236" s="264"/>
      <c r="I236" s="396">
        <v>20</v>
      </c>
      <c r="J236" s="396"/>
      <c r="K236" s="396"/>
      <c r="L236" s="396">
        <f t="shared" ref="L236:L238" si="31">I236+K236</f>
        <v>20</v>
      </c>
      <c r="M236" s="396">
        <f t="shared" si="26"/>
        <v>9565.5899999999911</v>
      </c>
      <c r="P236" s="11"/>
      <c r="S236" s="396"/>
      <c r="T236"/>
      <c r="U236" s="396"/>
    </row>
    <row r="237" spans="1:21" x14ac:dyDescent="0.3">
      <c r="A237" s="12"/>
      <c r="B237" s="360">
        <v>45083</v>
      </c>
      <c r="C237" s="105" t="s">
        <v>487</v>
      </c>
      <c r="D237" s="11" t="s">
        <v>2310</v>
      </c>
      <c r="E237" s="394" t="s">
        <v>37</v>
      </c>
      <c r="F237" s="269" t="s">
        <v>2311</v>
      </c>
      <c r="G237" s="240" t="s">
        <v>2039</v>
      </c>
      <c r="H237" s="264"/>
      <c r="I237" s="396">
        <f>134-I238</f>
        <v>105</v>
      </c>
      <c r="J237" s="396"/>
      <c r="K237" s="396"/>
      <c r="L237" s="396">
        <f t="shared" si="31"/>
        <v>105</v>
      </c>
      <c r="M237" s="396">
        <f t="shared" si="26"/>
        <v>9670.5899999999911</v>
      </c>
      <c r="P237" s="11"/>
      <c r="S237" s="396"/>
      <c r="T237"/>
      <c r="U237" s="396"/>
    </row>
    <row r="238" spans="1:21" x14ac:dyDescent="0.3">
      <c r="A238" s="12"/>
      <c r="B238" s="360">
        <v>45083</v>
      </c>
      <c r="C238" s="105" t="s">
        <v>487</v>
      </c>
      <c r="D238" s="11" t="s">
        <v>2310</v>
      </c>
      <c r="E238" s="394" t="s">
        <v>500</v>
      </c>
      <c r="F238" s="269" t="s">
        <v>2311</v>
      </c>
      <c r="G238" s="240" t="s">
        <v>2039</v>
      </c>
      <c r="H238" s="264"/>
      <c r="I238" s="396">
        <v>29</v>
      </c>
      <c r="J238" s="396"/>
      <c r="K238" s="396"/>
      <c r="L238" s="396">
        <f t="shared" si="31"/>
        <v>29</v>
      </c>
      <c r="M238" s="396">
        <f t="shared" si="26"/>
        <v>9699.5899999999911</v>
      </c>
      <c r="P238"/>
      <c r="Q238"/>
      <c r="R238"/>
      <c r="S238" s="125"/>
      <c r="T238"/>
      <c r="U238" s="396"/>
    </row>
    <row r="239" spans="1:21" x14ac:dyDescent="0.3">
      <c r="A239" s="12"/>
      <c r="B239" s="360">
        <v>45084</v>
      </c>
      <c r="C239" s="105" t="s">
        <v>487</v>
      </c>
      <c r="D239" s="11" t="s">
        <v>743</v>
      </c>
      <c r="E239" s="394" t="s">
        <v>36</v>
      </c>
      <c r="F239" s="269" t="s">
        <v>2312</v>
      </c>
      <c r="G239" s="240" t="s">
        <v>2039</v>
      </c>
      <c r="H239" s="264"/>
      <c r="I239" s="396">
        <v>5</v>
      </c>
      <c r="J239" s="396"/>
      <c r="K239" s="396"/>
      <c r="L239" s="396">
        <f t="shared" si="30"/>
        <v>5</v>
      </c>
      <c r="M239" s="396">
        <f t="shared" si="26"/>
        <v>9704.5899999999911</v>
      </c>
      <c r="P239"/>
      <c r="Q239"/>
      <c r="R239"/>
      <c r="S239" s="4"/>
      <c r="T239"/>
      <c r="U239" s="396">
        <f>SUM(S228:S238)</f>
        <v>-420</v>
      </c>
    </row>
    <row r="240" spans="1:21" x14ac:dyDescent="0.3">
      <c r="A240" s="12"/>
      <c r="B240" s="360">
        <v>45085</v>
      </c>
      <c r="C240" s="105" t="s">
        <v>487</v>
      </c>
      <c r="D240" s="262" t="s">
        <v>2294</v>
      </c>
      <c r="E240" s="394" t="s">
        <v>37</v>
      </c>
      <c r="F240" s="269" t="s">
        <v>2304</v>
      </c>
      <c r="G240" s="240" t="s">
        <v>2039</v>
      </c>
      <c r="H240" s="264"/>
      <c r="I240" s="396">
        <v>1</v>
      </c>
      <c r="J240" s="396"/>
      <c r="K240" s="396"/>
      <c r="L240" s="396">
        <f t="shared" si="30"/>
        <v>1</v>
      </c>
      <c r="M240" s="396">
        <f t="shared" si="26"/>
        <v>9705.5899999999911</v>
      </c>
      <c r="P240"/>
      <c r="Q240"/>
      <c r="R240"/>
      <c r="S240" s="4"/>
      <c r="T240"/>
      <c r="U240" s="396"/>
    </row>
    <row r="241" spans="1:21" x14ac:dyDescent="0.3">
      <c r="A241" s="12"/>
      <c r="B241" s="360">
        <v>45089</v>
      </c>
      <c r="C241" s="105" t="s">
        <v>487</v>
      </c>
      <c r="D241" s="11" t="s">
        <v>2302</v>
      </c>
      <c r="E241" s="394" t="s">
        <v>37</v>
      </c>
      <c r="F241" s="269" t="s">
        <v>2304</v>
      </c>
      <c r="G241" s="240" t="s">
        <v>2039</v>
      </c>
      <c r="H241" s="264"/>
      <c r="I241" s="396">
        <v>42</v>
      </c>
      <c r="J241" s="396"/>
      <c r="K241" s="396"/>
      <c r="L241" s="396">
        <f t="shared" si="30"/>
        <v>42</v>
      </c>
      <c r="M241" s="396">
        <f t="shared" si="26"/>
        <v>9747.5899999999911</v>
      </c>
      <c r="P241"/>
      <c r="Q241"/>
      <c r="R241"/>
      <c r="S241" s="4"/>
      <c r="T241"/>
      <c r="U241" s="397">
        <f>U227+U239</f>
        <v>9630.7000000000007</v>
      </c>
    </row>
    <row r="242" spans="1:21" ht="14" x14ac:dyDescent="0.35">
      <c r="A242" s="12"/>
      <c r="B242" s="360">
        <v>45093</v>
      </c>
      <c r="C242" s="105" t="s">
        <v>487</v>
      </c>
      <c r="D242" s="422" t="s">
        <v>2315</v>
      </c>
      <c r="E242" s="394" t="s">
        <v>37</v>
      </c>
      <c r="F242" s="269" t="s">
        <v>2316</v>
      </c>
      <c r="G242" s="240" t="s">
        <v>2039</v>
      </c>
      <c r="H242" s="264"/>
      <c r="I242" s="396">
        <v>12</v>
      </c>
      <c r="J242" s="396"/>
      <c r="K242" s="396"/>
      <c r="L242" s="396">
        <f t="shared" si="30"/>
        <v>12</v>
      </c>
      <c r="M242" s="396">
        <f t="shared" si="26"/>
        <v>9759.5899999999911</v>
      </c>
      <c r="P242"/>
      <c r="Q242"/>
      <c r="R242"/>
      <c r="S242" s="4"/>
      <c r="T242"/>
      <c r="U242" s="396">
        <f>VLOOKUP("Jun End",C:M,11,FALSE)-U241</f>
        <v>0</v>
      </c>
    </row>
    <row r="243" spans="1:21" x14ac:dyDescent="0.3">
      <c r="A243" s="12"/>
      <c r="B243" s="360">
        <v>45092</v>
      </c>
      <c r="C243" s="105" t="s">
        <v>487</v>
      </c>
      <c r="D243" s="11" t="s">
        <v>2170</v>
      </c>
      <c r="E243" s="394" t="s">
        <v>37</v>
      </c>
      <c r="F243" s="269"/>
      <c r="G243" s="240" t="s">
        <v>2039</v>
      </c>
      <c r="H243" s="264"/>
      <c r="I243" s="396">
        <v>78</v>
      </c>
      <c r="J243" s="396"/>
      <c r="K243" s="396"/>
      <c r="L243" s="396">
        <f t="shared" si="30"/>
        <v>78</v>
      </c>
      <c r="M243" s="396">
        <f t="shared" si="26"/>
        <v>9837.5899999999911</v>
      </c>
      <c r="P243"/>
      <c r="Q243"/>
      <c r="R243"/>
      <c r="S243" s="4"/>
      <c r="T243"/>
    </row>
    <row r="244" spans="1:21" x14ac:dyDescent="0.3">
      <c r="A244" s="12"/>
      <c r="B244" s="360">
        <v>45093</v>
      </c>
      <c r="C244" s="105" t="s">
        <v>487</v>
      </c>
      <c r="D244" s="11" t="s">
        <v>2198</v>
      </c>
      <c r="E244" s="394" t="s">
        <v>36</v>
      </c>
      <c r="F244" s="269"/>
      <c r="G244" s="240" t="s">
        <v>2039</v>
      </c>
      <c r="H244" s="264"/>
      <c r="I244" s="396">
        <v>29.33</v>
      </c>
      <c r="J244" s="396"/>
      <c r="K244" s="396"/>
      <c r="L244" s="396">
        <f t="shared" si="30"/>
        <v>29.33</v>
      </c>
      <c r="M244" s="396">
        <f t="shared" si="26"/>
        <v>9866.919999999991</v>
      </c>
      <c r="P244"/>
      <c r="Q244"/>
      <c r="R244"/>
      <c r="S244" s="4"/>
      <c r="T244"/>
    </row>
    <row r="245" spans="1:21" x14ac:dyDescent="0.3">
      <c r="A245" s="12"/>
      <c r="B245" s="360">
        <v>45094</v>
      </c>
      <c r="C245" s="105" t="s">
        <v>487</v>
      </c>
      <c r="D245" s="11" t="s">
        <v>1584</v>
      </c>
      <c r="E245" s="394" t="s">
        <v>621</v>
      </c>
      <c r="F245" s="269" t="s">
        <v>2317</v>
      </c>
      <c r="G245" s="240" t="s">
        <v>2039</v>
      </c>
      <c r="H245" s="264"/>
      <c r="I245" s="396"/>
      <c r="J245" s="396"/>
      <c r="K245" s="396">
        <v>-30</v>
      </c>
      <c r="L245" s="396">
        <f t="shared" si="30"/>
        <v>-30</v>
      </c>
      <c r="M245" s="396">
        <f t="shared" si="26"/>
        <v>9836.919999999991</v>
      </c>
      <c r="P245"/>
      <c r="Q245"/>
      <c r="R245"/>
      <c r="S245" s="4"/>
      <c r="T245"/>
    </row>
    <row r="246" spans="1:21" x14ac:dyDescent="0.3">
      <c r="A246" s="12"/>
      <c r="B246" s="360">
        <v>45097</v>
      </c>
      <c r="C246" s="105" t="s">
        <v>487</v>
      </c>
      <c r="D246" s="11" t="s">
        <v>234</v>
      </c>
      <c r="E246" s="394" t="s">
        <v>40</v>
      </c>
      <c r="F246" s="269" t="s">
        <v>2318</v>
      </c>
      <c r="G246" s="240" t="s">
        <v>2039</v>
      </c>
      <c r="H246" s="264"/>
      <c r="I246" s="396"/>
      <c r="J246" s="396"/>
      <c r="K246" s="396">
        <v>-150</v>
      </c>
      <c r="L246" s="396">
        <f t="shared" ref="L246:L282" si="32">I246+K246</f>
        <v>-150</v>
      </c>
      <c r="M246" s="396">
        <f t="shared" si="26"/>
        <v>9686.919999999991</v>
      </c>
      <c r="P246"/>
      <c r="Q246"/>
      <c r="R246"/>
      <c r="S246" s="4"/>
      <c r="T246"/>
    </row>
    <row r="247" spans="1:21" x14ac:dyDescent="0.3">
      <c r="A247" s="12"/>
      <c r="B247" s="360">
        <v>45097</v>
      </c>
      <c r="C247" s="105" t="s">
        <v>487</v>
      </c>
      <c r="D247" s="11" t="s">
        <v>2319</v>
      </c>
      <c r="E247" s="394" t="s">
        <v>37</v>
      </c>
      <c r="F247" s="269"/>
      <c r="G247" s="240" t="s">
        <v>2039</v>
      </c>
      <c r="H247" s="264"/>
      <c r="I247" s="396">
        <v>72</v>
      </c>
      <c r="J247" s="396"/>
      <c r="K247" s="396"/>
      <c r="L247" s="396">
        <f t="shared" si="32"/>
        <v>72</v>
      </c>
      <c r="M247" s="396">
        <f t="shared" si="26"/>
        <v>9758.919999999991</v>
      </c>
      <c r="P247"/>
      <c r="Q247"/>
      <c r="R247"/>
      <c r="S247" s="4"/>
      <c r="T247"/>
    </row>
    <row r="248" spans="1:21" x14ac:dyDescent="0.3">
      <c r="A248" s="12"/>
      <c r="B248" s="360">
        <v>45103</v>
      </c>
      <c r="C248" s="105" t="s">
        <v>487</v>
      </c>
      <c r="D248" s="11" t="s">
        <v>2170</v>
      </c>
      <c r="E248" s="394" t="s">
        <v>499</v>
      </c>
      <c r="F248" s="269"/>
      <c r="G248" s="240" t="s">
        <v>2039</v>
      </c>
      <c r="H248" s="264"/>
      <c r="I248" s="396">
        <v>50</v>
      </c>
      <c r="J248" s="396"/>
      <c r="K248" s="396"/>
      <c r="L248" s="396">
        <f t="shared" si="32"/>
        <v>50</v>
      </c>
      <c r="M248" s="396">
        <f t="shared" si="26"/>
        <v>9808.919999999991</v>
      </c>
      <c r="P248"/>
      <c r="Q248"/>
      <c r="R248"/>
      <c r="S248" s="4"/>
      <c r="T248"/>
    </row>
    <row r="249" spans="1:21" x14ac:dyDescent="0.3">
      <c r="A249" s="12"/>
      <c r="B249" s="360">
        <v>45103</v>
      </c>
      <c r="C249" s="105" t="s">
        <v>487</v>
      </c>
      <c r="D249" s="11" t="s">
        <v>2302</v>
      </c>
      <c r="E249" s="394" t="s">
        <v>2116</v>
      </c>
      <c r="F249" s="269"/>
      <c r="G249" s="240" t="s">
        <v>2039</v>
      </c>
      <c r="H249" s="264"/>
      <c r="I249" s="396"/>
      <c r="J249" s="396"/>
      <c r="K249" s="396">
        <v>-50</v>
      </c>
      <c r="L249" s="396">
        <f t="shared" si="32"/>
        <v>-50</v>
      </c>
      <c r="M249" s="396">
        <f t="shared" si="26"/>
        <v>9758.919999999991</v>
      </c>
      <c r="P249"/>
      <c r="Q249"/>
      <c r="R249"/>
      <c r="S249" s="4"/>
      <c r="T249"/>
    </row>
    <row r="250" spans="1:21" x14ac:dyDescent="0.3">
      <c r="A250" s="12"/>
      <c r="B250" s="360">
        <v>45107</v>
      </c>
      <c r="C250" s="105" t="s">
        <v>487</v>
      </c>
      <c r="D250" s="11" t="s">
        <v>2114</v>
      </c>
      <c r="E250" s="394" t="s">
        <v>36</v>
      </c>
      <c r="F250" s="269"/>
      <c r="G250" s="240" t="s">
        <v>2039</v>
      </c>
      <c r="H250" s="264"/>
      <c r="I250" s="396">
        <v>341.78</v>
      </c>
      <c r="J250" s="396"/>
      <c r="K250" s="396"/>
      <c r="L250" s="396">
        <f t="shared" si="32"/>
        <v>341.78</v>
      </c>
      <c r="M250" s="396">
        <f t="shared" si="26"/>
        <v>10100.699999999992</v>
      </c>
      <c r="P250"/>
      <c r="Q250"/>
      <c r="R250"/>
      <c r="S250" s="4"/>
      <c r="T250"/>
    </row>
    <row r="251" spans="1:21" x14ac:dyDescent="0.3">
      <c r="A251" s="12"/>
      <c r="B251" s="360">
        <v>45103</v>
      </c>
      <c r="C251" s="105" t="s">
        <v>487</v>
      </c>
      <c r="D251" s="11" t="s">
        <v>232</v>
      </c>
      <c r="E251" s="394" t="s">
        <v>13</v>
      </c>
      <c r="F251" s="269"/>
      <c r="G251" s="240" t="s">
        <v>2039</v>
      </c>
      <c r="H251" s="264"/>
      <c r="I251" s="396"/>
      <c r="J251" s="396"/>
      <c r="K251" s="396">
        <v>-50</v>
      </c>
      <c r="L251" s="396">
        <f t="shared" si="32"/>
        <v>-50</v>
      </c>
      <c r="M251" s="396">
        <f t="shared" si="26"/>
        <v>10050.699999999992</v>
      </c>
      <c r="P251"/>
      <c r="Q251"/>
      <c r="R251"/>
      <c r="S251" s="4"/>
      <c r="T251"/>
    </row>
    <row r="252" spans="1:21" x14ac:dyDescent="0.3">
      <c r="A252" s="12"/>
      <c r="B252" s="360">
        <v>45109</v>
      </c>
      <c r="C252" s="105" t="s">
        <v>487</v>
      </c>
      <c r="D252" s="11" t="s">
        <v>1544</v>
      </c>
      <c r="E252" s="394" t="s">
        <v>12</v>
      </c>
      <c r="F252" s="269"/>
      <c r="G252" s="240" t="s">
        <v>2039</v>
      </c>
      <c r="H252" s="264"/>
      <c r="I252" s="396"/>
      <c r="J252" s="396"/>
      <c r="K252" s="396">
        <v>-420</v>
      </c>
      <c r="L252" s="396">
        <f t="shared" si="32"/>
        <v>-420</v>
      </c>
      <c r="M252" s="396">
        <f t="shared" si="26"/>
        <v>9630.6999999999916</v>
      </c>
      <c r="P252"/>
      <c r="Q252"/>
      <c r="R252"/>
      <c r="S252" s="4"/>
      <c r="T252"/>
    </row>
    <row r="253" spans="1:21" x14ac:dyDescent="0.3">
      <c r="A253" s="12"/>
      <c r="C253" s="105" t="s">
        <v>2308</v>
      </c>
      <c r="D253" s="11"/>
      <c r="E253" s="394"/>
      <c r="F253" s="269"/>
      <c r="G253" s="240" t="s">
        <v>2039</v>
      </c>
      <c r="H253" s="264"/>
      <c r="I253" s="396"/>
      <c r="J253" s="396"/>
      <c r="K253" s="396"/>
      <c r="L253" s="396">
        <f t="shared" si="32"/>
        <v>0</v>
      </c>
      <c r="M253" s="396">
        <f>M252+L253</f>
        <v>9630.6999999999916</v>
      </c>
      <c r="P253"/>
      <c r="Q253"/>
      <c r="R253"/>
      <c r="S253" s="4"/>
      <c r="T253"/>
    </row>
    <row r="254" spans="1:21" x14ac:dyDescent="0.3">
      <c r="A254" s="12"/>
      <c r="B254" s="360">
        <v>45131</v>
      </c>
      <c r="C254" s="105" t="s">
        <v>488</v>
      </c>
      <c r="D254" s="11" t="s">
        <v>299</v>
      </c>
      <c r="E254" s="394" t="s">
        <v>301</v>
      </c>
      <c r="F254" s="269" t="s">
        <v>1801</v>
      </c>
      <c r="G254" s="240" t="s">
        <v>2039</v>
      </c>
      <c r="H254" s="264"/>
      <c r="I254" s="396"/>
      <c r="J254" s="396"/>
      <c r="K254" s="396">
        <v>-54.18</v>
      </c>
      <c r="L254" s="396">
        <f t="shared" si="32"/>
        <v>-54.18</v>
      </c>
      <c r="M254" s="396">
        <f t="shared" ref="M254:M283" si="33">M253+L254</f>
        <v>9576.5199999999913</v>
      </c>
      <c r="P254" s="30" t="s">
        <v>2328</v>
      </c>
      <c r="Q254" s="30"/>
      <c r="R254" s="30"/>
      <c r="S254"/>
      <c r="T254"/>
      <c r="U254"/>
    </row>
    <row r="255" spans="1:21" x14ac:dyDescent="0.3">
      <c r="A255" s="12"/>
      <c r="B255" s="360">
        <v>45134</v>
      </c>
      <c r="C255" s="105" t="s">
        <v>488</v>
      </c>
      <c r="D255" s="4" t="s">
        <v>607</v>
      </c>
      <c r="E255" s="133" t="s">
        <v>11</v>
      </c>
      <c r="F255" s="120" t="s">
        <v>1802</v>
      </c>
      <c r="G255" s="240" t="s">
        <v>2039</v>
      </c>
      <c r="H255" s="264"/>
      <c r="I255" s="396"/>
      <c r="J255" s="396"/>
      <c r="K255" s="396">
        <v>-24.13</v>
      </c>
      <c r="L255" s="396">
        <f t="shared" si="32"/>
        <v>-24.13</v>
      </c>
      <c r="M255" s="396">
        <f t="shared" si="33"/>
        <v>9552.3899999999921</v>
      </c>
      <c r="P255"/>
      <c r="Q255"/>
      <c r="R255"/>
      <c r="S255"/>
      <c r="T255"/>
      <c r="U255"/>
    </row>
    <row r="256" spans="1:21" x14ac:dyDescent="0.3">
      <c r="A256" s="12"/>
      <c r="B256" s="360">
        <v>45127</v>
      </c>
      <c r="C256" s="105" t="s">
        <v>488</v>
      </c>
      <c r="D256" s="4" t="s">
        <v>2046</v>
      </c>
      <c r="E256" s="133" t="s">
        <v>12</v>
      </c>
      <c r="F256" s="269" t="s">
        <v>1802</v>
      </c>
      <c r="G256" s="240" t="s">
        <v>2039</v>
      </c>
      <c r="H256" s="264"/>
      <c r="I256" s="396"/>
      <c r="J256" s="396"/>
      <c r="K256" s="396">
        <v>-96.72</v>
      </c>
      <c r="L256" s="396">
        <f t="shared" si="32"/>
        <v>-96.72</v>
      </c>
      <c r="M256" s="396">
        <f t="shared" si="33"/>
        <v>9455.6699999999928</v>
      </c>
      <c r="P256" t="s">
        <v>584</v>
      </c>
      <c r="Q256"/>
      <c r="R256"/>
      <c r="S256"/>
      <c r="T256"/>
      <c r="U256" s="396">
        <f>8081.65-36+80+470</f>
        <v>8595.65</v>
      </c>
    </row>
    <row r="257" spans="1:21" x14ac:dyDescent="0.3">
      <c r="A257" s="12"/>
      <c r="B257" s="360">
        <v>45117</v>
      </c>
      <c r="C257" s="105" t="s">
        <v>488</v>
      </c>
      <c r="D257" s="4" t="s">
        <v>48</v>
      </c>
      <c r="E257" s="133" t="s">
        <v>12</v>
      </c>
      <c r="F257" s="269" t="s">
        <v>1802</v>
      </c>
      <c r="G257" s="240" t="s">
        <v>2039</v>
      </c>
      <c r="H257" s="264"/>
      <c r="I257" s="396"/>
      <c r="J257" s="396"/>
      <c r="K257" s="396">
        <v>-119.68</v>
      </c>
      <c r="L257" s="396">
        <f t="shared" si="32"/>
        <v>-119.68</v>
      </c>
      <c r="M257" s="396">
        <f t="shared" si="33"/>
        <v>9335.9899999999925</v>
      </c>
      <c r="P257"/>
      <c r="Q257"/>
      <c r="R257"/>
      <c r="S257" s="396"/>
      <c r="T257"/>
      <c r="U257" s="396"/>
    </row>
    <row r="258" spans="1:21" x14ac:dyDescent="0.3">
      <c r="A258" s="12"/>
      <c r="B258" s="360">
        <v>45126</v>
      </c>
      <c r="C258" s="105" t="s">
        <v>488</v>
      </c>
      <c r="D258" s="4" t="s">
        <v>58</v>
      </c>
      <c r="E258" s="133" t="s">
        <v>8</v>
      </c>
      <c r="F258" s="269" t="s">
        <v>486</v>
      </c>
      <c r="G258" s="240" t="s">
        <v>2039</v>
      </c>
      <c r="H258" s="264"/>
      <c r="I258" s="396"/>
      <c r="J258" s="396"/>
      <c r="K258" s="396">
        <v>-23.45</v>
      </c>
      <c r="L258" s="396">
        <f t="shared" si="32"/>
        <v>-23.45</v>
      </c>
      <c r="M258" s="396">
        <f t="shared" si="33"/>
        <v>9312.5399999999918</v>
      </c>
      <c r="P258"/>
      <c r="Q258"/>
      <c r="R258"/>
      <c r="S258" s="396"/>
      <c r="T258"/>
      <c r="U258" s="396"/>
    </row>
    <row r="259" spans="1:21" x14ac:dyDescent="0.3">
      <c r="A259" s="12"/>
      <c r="B259" s="360">
        <v>45121</v>
      </c>
      <c r="C259" s="105" t="s">
        <v>488</v>
      </c>
      <c r="D259" s="4" t="s">
        <v>58</v>
      </c>
      <c r="E259" s="133" t="s">
        <v>9</v>
      </c>
      <c r="F259" s="269" t="s">
        <v>2288</v>
      </c>
      <c r="G259" s="240" t="s">
        <v>2039</v>
      </c>
      <c r="H259" s="264"/>
      <c r="I259" s="396"/>
      <c r="J259" s="396"/>
      <c r="K259" s="396">
        <v>-131.91</v>
      </c>
      <c r="L259" s="396">
        <f t="shared" si="32"/>
        <v>-131.91</v>
      </c>
      <c r="M259" s="396">
        <f t="shared" si="33"/>
        <v>9180.6299999999919</v>
      </c>
      <c r="P259" s="15" t="s">
        <v>1544</v>
      </c>
      <c r="Q259"/>
      <c r="R259"/>
      <c r="S259" s="396">
        <v>-470</v>
      </c>
      <c r="T259"/>
      <c r="U259" s="396"/>
    </row>
    <row r="260" spans="1:21" x14ac:dyDescent="0.3">
      <c r="A260" s="12"/>
      <c r="B260" s="360">
        <v>45110</v>
      </c>
      <c r="C260" s="105" t="s">
        <v>488</v>
      </c>
      <c r="D260" s="11" t="s">
        <v>1870</v>
      </c>
      <c r="E260" s="394" t="s">
        <v>36</v>
      </c>
      <c r="F260" s="269" t="s">
        <v>2353</v>
      </c>
      <c r="G260" s="240" t="s">
        <v>2039</v>
      </c>
      <c r="H260" s="264"/>
      <c r="I260" s="396">
        <v>40.799999999999997</v>
      </c>
      <c r="J260" s="396"/>
      <c r="K260" s="396"/>
      <c r="L260" s="396">
        <f t="shared" si="32"/>
        <v>40.799999999999997</v>
      </c>
      <c r="M260" s="396">
        <f t="shared" si="33"/>
        <v>9221.4299999999912</v>
      </c>
      <c r="P260" s="15" t="s">
        <v>234</v>
      </c>
      <c r="Q260"/>
      <c r="R260"/>
      <c r="S260" s="396">
        <v>-80</v>
      </c>
      <c r="T260"/>
      <c r="U260" s="396"/>
    </row>
    <row r="261" spans="1:21" x14ac:dyDescent="0.3">
      <c r="A261" s="12"/>
      <c r="B261" s="360">
        <v>45112</v>
      </c>
      <c r="C261" s="105" t="s">
        <v>488</v>
      </c>
      <c r="D261" s="11" t="s">
        <v>743</v>
      </c>
      <c r="E261" s="394" t="s">
        <v>36</v>
      </c>
      <c r="F261" s="269" t="s">
        <v>2330</v>
      </c>
      <c r="G261" s="240" t="s">
        <v>2039</v>
      </c>
      <c r="H261" s="264"/>
      <c r="I261" s="396">
        <v>5</v>
      </c>
      <c r="J261" s="396"/>
      <c r="K261" s="396"/>
      <c r="L261" s="396">
        <f t="shared" si="32"/>
        <v>5</v>
      </c>
      <c r="M261" s="396">
        <f t="shared" si="33"/>
        <v>9226.4299999999912</v>
      </c>
      <c r="P261" s="15"/>
      <c r="Q261"/>
      <c r="R261"/>
      <c r="S261" s="396"/>
      <c r="T261"/>
      <c r="U261" s="396"/>
    </row>
    <row r="262" spans="1:21" x14ac:dyDescent="0.3">
      <c r="A262" s="12"/>
      <c r="B262" s="360">
        <v>45113</v>
      </c>
      <c r="C262" s="105" t="s">
        <v>488</v>
      </c>
      <c r="D262" s="11" t="s">
        <v>234</v>
      </c>
      <c r="E262" s="394" t="s">
        <v>40</v>
      </c>
      <c r="F262" s="269" t="s">
        <v>2331</v>
      </c>
      <c r="G262" s="240" t="s">
        <v>2039</v>
      </c>
      <c r="H262" s="264"/>
      <c r="I262" s="396"/>
      <c r="J262" s="396"/>
      <c r="K262" s="396">
        <v>-55</v>
      </c>
      <c r="L262" s="396">
        <f t="shared" si="32"/>
        <v>-55</v>
      </c>
      <c r="M262" s="396">
        <f t="shared" si="33"/>
        <v>9171.4299999999912</v>
      </c>
      <c r="P262" s="11"/>
      <c r="Q262"/>
      <c r="R262"/>
      <c r="S262" s="396"/>
      <c r="T262"/>
      <c r="U262" s="396"/>
    </row>
    <row r="263" spans="1:21" x14ac:dyDescent="0.3">
      <c r="A263" s="12"/>
      <c r="B263" s="360">
        <v>45113</v>
      </c>
      <c r="C263" s="105" t="s">
        <v>488</v>
      </c>
      <c r="D263" s="11" t="s">
        <v>2176</v>
      </c>
      <c r="E263" s="394" t="s">
        <v>37</v>
      </c>
      <c r="F263" s="269"/>
      <c r="G263" s="240" t="s">
        <v>2039</v>
      </c>
      <c r="H263" s="264"/>
      <c r="I263" s="396">
        <v>41</v>
      </c>
      <c r="J263" s="396"/>
      <c r="K263" s="396"/>
      <c r="L263" s="396">
        <f t="shared" si="32"/>
        <v>41</v>
      </c>
      <c r="M263" s="396">
        <f t="shared" si="33"/>
        <v>9212.4299999999912</v>
      </c>
      <c r="P263" s="4"/>
      <c r="Q263"/>
      <c r="R263"/>
      <c r="S263" s="396"/>
      <c r="T263"/>
      <c r="U263" s="396"/>
    </row>
    <row r="264" spans="1:21" x14ac:dyDescent="0.3">
      <c r="A264" s="12"/>
      <c r="B264" s="360">
        <v>45118</v>
      </c>
      <c r="C264" s="105" t="s">
        <v>488</v>
      </c>
      <c r="D264" s="262" t="s">
        <v>2198</v>
      </c>
      <c r="E264" s="394" t="s">
        <v>36</v>
      </c>
      <c r="F264" s="269"/>
      <c r="G264" s="240" t="s">
        <v>2039</v>
      </c>
      <c r="H264" s="264"/>
      <c r="I264" s="396">
        <v>29.33</v>
      </c>
      <c r="J264" s="396"/>
      <c r="K264" s="396"/>
      <c r="L264" s="396">
        <f t="shared" si="32"/>
        <v>29.33</v>
      </c>
      <c r="M264" s="396">
        <f t="shared" si="33"/>
        <v>9241.7599999999911</v>
      </c>
      <c r="P264" s="11"/>
      <c r="S264" s="396"/>
      <c r="T264"/>
      <c r="U264" s="396"/>
    </row>
    <row r="265" spans="1:21" x14ac:dyDescent="0.3">
      <c r="A265" s="12"/>
      <c r="B265" s="360">
        <v>45124</v>
      </c>
      <c r="C265" s="105" t="s">
        <v>488</v>
      </c>
      <c r="D265" s="262" t="s">
        <v>2333</v>
      </c>
      <c r="E265" s="394" t="s">
        <v>2116</v>
      </c>
      <c r="F265" s="269"/>
      <c r="G265" s="240" t="s">
        <v>2039</v>
      </c>
      <c r="H265" s="264"/>
      <c r="I265" s="396"/>
      <c r="J265" s="396"/>
      <c r="K265" s="396">
        <v>-50</v>
      </c>
      <c r="L265" s="396">
        <f t="shared" si="32"/>
        <v>-50</v>
      </c>
      <c r="M265" s="396">
        <f t="shared" si="33"/>
        <v>9191.7599999999911</v>
      </c>
      <c r="P265" s="11"/>
      <c r="S265" s="396"/>
      <c r="T265"/>
      <c r="U265" s="396"/>
    </row>
    <row r="266" spans="1:21" x14ac:dyDescent="0.3">
      <c r="A266" s="12"/>
      <c r="B266" s="360">
        <v>45127</v>
      </c>
      <c r="C266" s="105" t="s">
        <v>488</v>
      </c>
      <c r="D266" s="11" t="s">
        <v>2335</v>
      </c>
      <c r="E266" s="394" t="s">
        <v>37</v>
      </c>
      <c r="F266" s="269" t="s">
        <v>2336</v>
      </c>
      <c r="G266" s="240" t="s">
        <v>2039</v>
      </c>
      <c r="H266" s="264"/>
      <c r="I266" s="396">
        <v>84</v>
      </c>
      <c r="J266" s="396"/>
      <c r="K266" s="396"/>
      <c r="L266" s="396">
        <f t="shared" si="32"/>
        <v>84</v>
      </c>
      <c r="M266" s="396">
        <f t="shared" si="33"/>
        <v>9275.7599999999911</v>
      </c>
      <c r="P266" s="11"/>
      <c r="S266" s="396"/>
      <c r="T266"/>
      <c r="U266" s="396"/>
    </row>
    <row r="267" spans="1:21" x14ac:dyDescent="0.3">
      <c r="A267" s="12"/>
      <c r="B267" s="360">
        <v>45128</v>
      </c>
      <c r="C267" s="105" t="s">
        <v>488</v>
      </c>
      <c r="D267" s="11" t="s">
        <v>844</v>
      </c>
      <c r="E267" s="394" t="s">
        <v>622</v>
      </c>
      <c r="F267" s="269" t="s">
        <v>2337</v>
      </c>
      <c r="G267" s="240" t="s">
        <v>2039</v>
      </c>
      <c r="H267" s="264"/>
      <c r="I267" s="396">
        <v>45</v>
      </c>
      <c r="J267" s="396"/>
      <c r="K267" s="396"/>
      <c r="L267" s="396">
        <f t="shared" si="32"/>
        <v>45</v>
      </c>
      <c r="M267" s="396">
        <f t="shared" si="33"/>
        <v>9320.7599999999911</v>
      </c>
      <c r="P267"/>
      <c r="Q267"/>
      <c r="R267"/>
      <c r="S267" s="125"/>
      <c r="T267"/>
      <c r="U267" s="396"/>
    </row>
    <row r="268" spans="1:21" x14ac:dyDescent="0.3">
      <c r="A268" s="12"/>
      <c r="B268" s="360">
        <v>45130</v>
      </c>
      <c r="C268" s="105" t="s">
        <v>488</v>
      </c>
      <c r="D268" s="11" t="s">
        <v>1584</v>
      </c>
      <c r="E268" s="394" t="s">
        <v>621</v>
      </c>
      <c r="F268" s="269" t="s">
        <v>2338</v>
      </c>
      <c r="G268" s="240" t="s">
        <v>2039</v>
      </c>
      <c r="H268" s="264"/>
      <c r="I268" s="396"/>
      <c r="J268" s="396"/>
      <c r="K268" s="396">
        <v>-6</v>
      </c>
      <c r="L268" s="396">
        <f t="shared" si="32"/>
        <v>-6</v>
      </c>
      <c r="M268" s="396">
        <f t="shared" si="33"/>
        <v>9314.7599999999911</v>
      </c>
      <c r="P268"/>
      <c r="Q268"/>
      <c r="R268"/>
      <c r="S268" s="4"/>
      <c r="T268"/>
      <c r="U268" s="396">
        <f>SUM(S257:S267)</f>
        <v>-550</v>
      </c>
    </row>
    <row r="269" spans="1:21" x14ac:dyDescent="0.3">
      <c r="A269" s="12"/>
      <c r="B269" s="360">
        <v>45130</v>
      </c>
      <c r="C269" s="105" t="s">
        <v>488</v>
      </c>
      <c r="D269" s="262" t="s">
        <v>1563</v>
      </c>
      <c r="E269" s="394" t="s">
        <v>40</v>
      </c>
      <c r="F269" s="269" t="s">
        <v>2339</v>
      </c>
      <c r="G269" s="240" t="s">
        <v>2039</v>
      </c>
      <c r="H269" s="264"/>
      <c r="I269" s="396"/>
      <c r="J269" s="396"/>
      <c r="K269" s="396">
        <v>-90</v>
      </c>
      <c r="L269" s="396">
        <f t="shared" si="32"/>
        <v>-90</v>
      </c>
      <c r="M269" s="396">
        <f t="shared" si="33"/>
        <v>9224.7599999999911</v>
      </c>
      <c r="P269"/>
      <c r="Q269"/>
      <c r="R269"/>
      <c r="S269" s="4"/>
      <c r="T269"/>
      <c r="U269" s="396"/>
    </row>
    <row r="270" spans="1:21" x14ac:dyDescent="0.3">
      <c r="A270" s="12"/>
      <c r="B270" s="360">
        <v>45130</v>
      </c>
      <c r="C270" s="105" t="s">
        <v>488</v>
      </c>
      <c r="D270" s="11" t="s">
        <v>2310</v>
      </c>
      <c r="E270" s="394" t="s">
        <v>2116</v>
      </c>
      <c r="F270" s="269" t="s">
        <v>2311</v>
      </c>
      <c r="G270" s="240" t="s">
        <v>2039</v>
      </c>
      <c r="H270" s="264"/>
      <c r="I270" s="396"/>
      <c r="J270" s="396"/>
      <c r="K270" s="396">
        <v>-29</v>
      </c>
      <c r="L270" s="396">
        <f t="shared" si="32"/>
        <v>-29</v>
      </c>
      <c r="M270" s="396">
        <f t="shared" si="33"/>
        <v>9195.7599999999911</v>
      </c>
      <c r="P270"/>
      <c r="Q270"/>
      <c r="R270"/>
      <c r="S270" s="4"/>
      <c r="T270"/>
      <c r="U270" s="397">
        <f>U256+U268</f>
        <v>8045.65</v>
      </c>
    </row>
    <row r="271" spans="1:21" ht="14" x14ac:dyDescent="0.35">
      <c r="A271" s="12"/>
      <c r="B271" s="360">
        <v>45133</v>
      </c>
      <c r="C271" s="105" t="s">
        <v>488</v>
      </c>
      <c r="D271" s="422" t="s">
        <v>2341</v>
      </c>
      <c r="E271" s="394" t="s">
        <v>37</v>
      </c>
      <c r="F271" s="269" t="s">
        <v>2342</v>
      </c>
      <c r="G271" s="240" t="s">
        <v>2039</v>
      </c>
      <c r="H271" s="264"/>
      <c r="I271" s="396">
        <v>105</v>
      </c>
      <c r="J271" s="396"/>
      <c r="K271" s="396"/>
      <c r="L271" s="396">
        <f t="shared" si="32"/>
        <v>105</v>
      </c>
      <c r="M271" s="396">
        <f t="shared" si="33"/>
        <v>9300.7599999999911</v>
      </c>
      <c r="P271"/>
      <c r="Q271"/>
      <c r="R271"/>
      <c r="S271" s="4"/>
      <c r="T271"/>
      <c r="U271" s="396">
        <f>VLOOKUP("Jul End",C:M,11,FALSE)-U270</f>
        <v>-7.2759576141834259E-12</v>
      </c>
    </row>
    <row r="272" spans="1:21" ht="14" x14ac:dyDescent="0.35">
      <c r="A272" s="12"/>
      <c r="B272" s="360">
        <v>45133</v>
      </c>
      <c r="C272" s="105" t="s">
        <v>488</v>
      </c>
      <c r="D272" s="422" t="s">
        <v>2341</v>
      </c>
      <c r="E272" s="394" t="s">
        <v>499</v>
      </c>
      <c r="F272" s="269" t="s">
        <v>2342</v>
      </c>
      <c r="G272" s="240" t="s">
        <v>2039</v>
      </c>
      <c r="H272" s="264"/>
      <c r="I272" s="396">
        <v>50</v>
      </c>
      <c r="J272" s="396"/>
      <c r="K272" s="396"/>
      <c r="L272" s="396">
        <f t="shared" si="32"/>
        <v>50</v>
      </c>
      <c r="M272" s="396">
        <f t="shared" si="33"/>
        <v>9350.7599999999911</v>
      </c>
      <c r="P272"/>
      <c r="Q272"/>
      <c r="R272"/>
      <c r="S272" s="4"/>
      <c r="T272"/>
    </row>
    <row r="273" spans="1:26" x14ac:dyDescent="0.3">
      <c r="A273" s="12"/>
      <c r="B273" s="360">
        <v>45133</v>
      </c>
      <c r="C273" s="105" t="s">
        <v>488</v>
      </c>
      <c r="D273" s="11" t="s">
        <v>234</v>
      </c>
      <c r="E273" s="394" t="s">
        <v>12</v>
      </c>
      <c r="F273" s="269" t="s">
        <v>2343</v>
      </c>
      <c r="G273" s="240" t="s">
        <v>2039</v>
      </c>
      <c r="H273" s="264"/>
      <c r="I273" s="396"/>
      <c r="J273" s="396"/>
      <c r="K273" s="396">
        <v>-49.94</v>
      </c>
      <c r="L273" s="396">
        <f t="shared" si="32"/>
        <v>-49.94</v>
      </c>
      <c r="M273" s="396">
        <f t="shared" si="33"/>
        <v>9300.8199999999906</v>
      </c>
      <c r="P273"/>
      <c r="Q273"/>
      <c r="R273"/>
      <c r="S273" s="4"/>
      <c r="T273"/>
    </row>
    <row r="274" spans="1:26" x14ac:dyDescent="0.3">
      <c r="A274" s="12"/>
      <c r="B274" s="360">
        <v>45133</v>
      </c>
      <c r="C274" s="105" t="s">
        <v>488</v>
      </c>
      <c r="D274" s="11" t="s">
        <v>234</v>
      </c>
      <c r="E274" s="394" t="s">
        <v>40</v>
      </c>
      <c r="F274" s="269" t="s">
        <v>2344</v>
      </c>
      <c r="G274" s="240" t="s">
        <v>2039</v>
      </c>
      <c r="H274" s="264"/>
      <c r="I274" s="396"/>
      <c r="J274" s="396"/>
      <c r="K274" s="396">
        <v>-7.98</v>
      </c>
      <c r="L274" s="396">
        <f t="shared" si="32"/>
        <v>-7.98</v>
      </c>
      <c r="M274" s="396">
        <f t="shared" si="33"/>
        <v>9292.8399999999911</v>
      </c>
      <c r="P274"/>
      <c r="Q274"/>
      <c r="R274"/>
      <c r="S274" s="4"/>
      <c r="T274"/>
    </row>
    <row r="275" spans="1:26" x14ac:dyDescent="0.3">
      <c r="A275" s="12"/>
      <c r="B275" s="360">
        <v>45133</v>
      </c>
      <c r="C275" s="105" t="s">
        <v>488</v>
      </c>
      <c r="D275" s="11" t="s">
        <v>234</v>
      </c>
      <c r="E275" s="394" t="s">
        <v>40</v>
      </c>
      <c r="F275" s="269" t="s">
        <v>2345</v>
      </c>
      <c r="G275" s="240" t="s">
        <v>2039</v>
      </c>
      <c r="H275" s="264"/>
      <c r="I275" s="396"/>
      <c r="J275" s="396"/>
      <c r="K275" s="396">
        <v>-26.97</v>
      </c>
      <c r="L275" s="396">
        <f t="shared" si="32"/>
        <v>-26.97</v>
      </c>
      <c r="M275" s="396">
        <f t="shared" si="33"/>
        <v>9265.8699999999917</v>
      </c>
      <c r="P275"/>
      <c r="Q275"/>
      <c r="R275"/>
      <c r="S275" s="4"/>
      <c r="T275"/>
    </row>
    <row r="276" spans="1:26" x14ac:dyDescent="0.3">
      <c r="A276" s="12"/>
      <c r="B276" s="360">
        <v>45133</v>
      </c>
      <c r="C276" s="105" t="s">
        <v>488</v>
      </c>
      <c r="D276" s="11" t="s">
        <v>1672</v>
      </c>
      <c r="E276" s="394" t="s">
        <v>11</v>
      </c>
      <c r="F276" s="269" t="s">
        <v>2346</v>
      </c>
      <c r="G276" s="240" t="s">
        <v>2039</v>
      </c>
      <c r="H276" s="264"/>
      <c r="I276" s="396"/>
      <c r="J276" s="396"/>
      <c r="K276" s="396">
        <v>-157.63999999999999</v>
      </c>
      <c r="L276" s="396">
        <f t="shared" si="32"/>
        <v>-157.63999999999999</v>
      </c>
      <c r="M276" s="396">
        <f t="shared" si="33"/>
        <v>9108.2299999999923</v>
      </c>
      <c r="P276"/>
      <c r="Q276"/>
      <c r="R276"/>
      <c r="S276" s="4"/>
      <c r="T276"/>
    </row>
    <row r="277" spans="1:26" x14ac:dyDescent="0.3">
      <c r="A277" s="12"/>
      <c r="B277" s="360">
        <v>45133</v>
      </c>
      <c r="C277" s="105" t="s">
        <v>488</v>
      </c>
      <c r="D277" s="4" t="s">
        <v>1442</v>
      </c>
      <c r="E277" s="394" t="s">
        <v>13</v>
      </c>
      <c r="F277" s="269" t="s">
        <v>315</v>
      </c>
      <c r="G277" s="240" t="s">
        <v>2039</v>
      </c>
      <c r="H277" s="264"/>
      <c r="I277" s="396"/>
      <c r="J277" s="396"/>
      <c r="K277" s="396">
        <v>-607.58000000000004</v>
      </c>
      <c r="L277" s="396">
        <f t="shared" si="32"/>
        <v>-607.58000000000004</v>
      </c>
      <c r="M277" s="396">
        <f t="shared" si="33"/>
        <v>8500.6499999999924</v>
      </c>
      <c r="N277" s="424"/>
      <c r="P277" s="423"/>
      <c r="Q277"/>
      <c r="R277"/>
      <c r="S277" s="4"/>
      <c r="T277"/>
    </row>
    <row r="278" spans="1:26" x14ac:dyDescent="0.3">
      <c r="A278" s="12"/>
      <c r="B278" s="360">
        <v>45136</v>
      </c>
      <c r="C278" s="105" t="s">
        <v>488</v>
      </c>
      <c r="D278" s="11" t="s">
        <v>2118</v>
      </c>
      <c r="E278" s="394" t="s">
        <v>36</v>
      </c>
      <c r="F278" s="269" t="s">
        <v>2348</v>
      </c>
      <c r="G278" s="240" t="s">
        <v>2039</v>
      </c>
      <c r="H278" s="264"/>
      <c r="I278" s="396">
        <v>45</v>
      </c>
      <c r="J278" s="396"/>
      <c r="K278" s="396"/>
      <c r="L278" s="396">
        <f t="shared" si="32"/>
        <v>45</v>
      </c>
      <c r="M278" s="396">
        <f t="shared" si="33"/>
        <v>8545.6499999999924</v>
      </c>
      <c r="P278"/>
      <c r="Q278"/>
      <c r="R278"/>
      <c r="S278" s="4"/>
      <c r="T278"/>
    </row>
    <row r="279" spans="1:26" x14ac:dyDescent="0.3">
      <c r="A279" s="12"/>
      <c r="B279" s="360">
        <v>45136</v>
      </c>
      <c r="C279" s="105" t="s">
        <v>488</v>
      </c>
      <c r="D279" s="11" t="s">
        <v>2349</v>
      </c>
      <c r="E279" s="394" t="s">
        <v>500</v>
      </c>
      <c r="F279" s="269" t="s">
        <v>2350</v>
      </c>
      <c r="G279" s="240" t="s">
        <v>2039</v>
      </c>
      <c r="H279" s="264"/>
      <c r="I279" s="396">
        <v>50</v>
      </c>
      <c r="J279" s="396"/>
      <c r="K279" s="396"/>
      <c r="L279" s="396">
        <f t="shared" si="32"/>
        <v>50</v>
      </c>
      <c r="M279" s="396">
        <f t="shared" si="33"/>
        <v>8595.6499999999924</v>
      </c>
      <c r="P279"/>
      <c r="Q279"/>
      <c r="R279"/>
      <c r="S279" s="4"/>
      <c r="T279"/>
    </row>
    <row r="280" spans="1:26" x14ac:dyDescent="0.3">
      <c r="A280" s="12"/>
      <c r="B280" s="360">
        <v>45139</v>
      </c>
      <c r="C280" s="105" t="s">
        <v>488</v>
      </c>
      <c r="D280" s="11" t="s">
        <v>1544</v>
      </c>
      <c r="E280" s="394" t="s">
        <v>12</v>
      </c>
      <c r="F280" s="269" t="s">
        <v>354</v>
      </c>
      <c r="G280" s="240" t="s">
        <v>2039</v>
      </c>
      <c r="H280" s="264"/>
      <c r="I280" s="396"/>
      <c r="J280" s="396"/>
      <c r="K280" s="396">
        <v>-470</v>
      </c>
      <c r="L280" s="396">
        <f t="shared" si="32"/>
        <v>-470</v>
      </c>
      <c r="M280" s="396">
        <f t="shared" si="33"/>
        <v>8125.6499999999924</v>
      </c>
      <c r="P280"/>
      <c r="Q280"/>
      <c r="R280"/>
      <c r="S280" s="4"/>
      <c r="T280"/>
      <c r="U280" s="261"/>
    </row>
    <row r="281" spans="1:26" ht="12.5" x14ac:dyDescent="0.25">
      <c r="A281" s="12"/>
      <c r="B281" s="360">
        <v>45139</v>
      </c>
      <c r="C281" s="105" t="s">
        <v>488</v>
      </c>
      <c r="D281" s="11" t="s">
        <v>234</v>
      </c>
      <c r="E281" s="394" t="s">
        <v>40</v>
      </c>
      <c r="F281" s="269" t="s">
        <v>2318</v>
      </c>
      <c r="G281" s="240" t="s">
        <v>2039</v>
      </c>
      <c r="H281" s="264"/>
      <c r="I281" s="396"/>
      <c r="J281" s="396"/>
      <c r="K281" s="396">
        <v>-80</v>
      </c>
      <c r="L281" s="396">
        <f t="shared" si="32"/>
        <v>-80</v>
      </c>
      <c r="M281" s="396">
        <f t="shared" si="33"/>
        <v>8045.6499999999924</v>
      </c>
      <c r="N281" s="4"/>
      <c r="O281" s="62"/>
      <c r="P281"/>
      <c r="Q281"/>
      <c r="R281"/>
      <c r="S281" s="4"/>
      <c r="T281"/>
      <c r="V281" s="11"/>
      <c r="W281" s="11"/>
      <c r="X281" s="11"/>
      <c r="Y281" s="11"/>
      <c r="Z281" s="11"/>
    </row>
    <row r="282" spans="1:26" ht="12.5" x14ac:dyDescent="0.25">
      <c r="A282" s="12"/>
      <c r="C282" s="105" t="s">
        <v>2327</v>
      </c>
      <c r="D282" s="11"/>
      <c r="E282" s="394"/>
      <c r="F282" s="269"/>
      <c r="G282" s="240" t="s">
        <v>2039</v>
      </c>
      <c r="H282" s="264"/>
      <c r="I282" s="396"/>
      <c r="J282" s="396"/>
      <c r="K282" s="396"/>
      <c r="L282" s="396">
        <f t="shared" si="32"/>
        <v>0</v>
      </c>
      <c r="M282" s="396">
        <f t="shared" si="33"/>
        <v>8045.6499999999924</v>
      </c>
      <c r="N282" s="4"/>
      <c r="O282" s="62"/>
      <c r="P282"/>
      <c r="Q282"/>
      <c r="R282"/>
      <c r="S282" s="4"/>
      <c r="T282"/>
      <c r="V282" s="11"/>
      <c r="W282" s="11"/>
      <c r="X282" s="11"/>
      <c r="Y282" s="11"/>
      <c r="Z282" s="11"/>
    </row>
    <row r="283" spans="1:26" x14ac:dyDescent="0.3">
      <c r="A283" s="12"/>
      <c r="B283" s="360">
        <v>45162</v>
      </c>
      <c r="C283" s="105" t="s">
        <v>489</v>
      </c>
      <c r="D283" s="11" t="s">
        <v>299</v>
      </c>
      <c r="E283" s="394" t="s">
        <v>301</v>
      </c>
      <c r="F283" s="269" t="s">
        <v>1801</v>
      </c>
      <c r="G283" s="240" t="s">
        <v>2039</v>
      </c>
      <c r="H283" s="264"/>
      <c r="I283" s="396"/>
      <c r="J283" s="396"/>
      <c r="K283" s="396">
        <v>-54.18</v>
      </c>
      <c r="L283" s="396">
        <f t="shared" ref="L283:L304" si="34">I283+K283</f>
        <v>-54.18</v>
      </c>
      <c r="M283" s="396">
        <f t="shared" si="33"/>
        <v>7991.4699999999921</v>
      </c>
      <c r="N283" s="4"/>
      <c r="O283" s="62"/>
      <c r="P283" s="30" t="s">
        <v>2352</v>
      </c>
      <c r="Q283" s="30"/>
      <c r="R283" s="30"/>
      <c r="S283"/>
      <c r="T283"/>
      <c r="U283"/>
      <c r="V283" s="11"/>
      <c r="W283" s="11"/>
      <c r="X283" s="11"/>
      <c r="Y283" s="11"/>
      <c r="Z283" s="11"/>
    </row>
    <row r="284" spans="1:26" ht="12.5" x14ac:dyDescent="0.25">
      <c r="A284" s="12"/>
      <c r="C284" s="105" t="s">
        <v>489</v>
      </c>
      <c r="D284" s="4" t="s">
        <v>607</v>
      </c>
      <c r="E284" s="133" t="s">
        <v>11</v>
      </c>
      <c r="F284" s="120" t="s">
        <v>1802</v>
      </c>
      <c r="G284" s="240" t="s">
        <v>2039</v>
      </c>
      <c r="H284" s="264"/>
      <c r="I284" s="396"/>
      <c r="J284" s="396"/>
      <c r="K284" s="396"/>
      <c r="L284" s="396">
        <f t="shared" si="34"/>
        <v>0</v>
      </c>
      <c r="M284" s="396">
        <f t="shared" ref="M284:M304" si="35">M283+L284</f>
        <v>7991.4699999999921</v>
      </c>
      <c r="N284" s="4"/>
      <c r="O284" s="62"/>
      <c r="P284"/>
      <c r="Q284"/>
      <c r="R284"/>
      <c r="S284"/>
      <c r="T284"/>
      <c r="U284"/>
      <c r="V284" s="11"/>
      <c r="W284" s="11"/>
      <c r="X284" s="11"/>
      <c r="Y284" s="11"/>
      <c r="Z284" s="11"/>
    </row>
    <row r="285" spans="1:26" ht="12.5" x14ac:dyDescent="0.25">
      <c r="A285" s="12"/>
      <c r="B285" s="360">
        <v>45159</v>
      </c>
      <c r="C285" s="105" t="s">
        <v>489</v>
      </c>
      <c r="D285" s="4" t="s">
        <v>2046</v>
      </c>
      <c r="E285" s="133" t="s">
        <v>12</v>
      </c>
      <c r="F285" s="269" t="s">
        <v>1802</v>
      </c>
      <c r="G285" s="240" t="s">
        <v>2039</v>
      </c>
      <c r="H285" s="264"/>
      <c r="I285" s="396"/>
      <c r="J285" s="396"/>
      <c r="K285" s="396">
        <v>-49.8</v>
      </c>
      <c r="L285" s="396">
        <f t="shared" si="34"/>
        <v>-49.8</v>
      </c>
      <c r="M285" s="396">
        <f t="shared" si="35"/>
        <v>7941.6699999999919</v>
      </c>
      <c r="N285" s="4"/>
      <c r="O285" s="62"/>
      <c r="P285" t="s">
        <v>584</v>
      </c>
      <c r="Q285"/>
      <c r="R285"/>
      <c r="S285"/>
      <c r="T285"/>
      <c r="U285" s="396">
        <v>7742.37</v>
      </c>
      <c r="V285" s="11"/>
      <c r="W285" s="11"/>
      <c r="X285" s="11"/>
      <c r="Y285" s="11"/>
      <c r="Z285" s="11"/>
    </row>
    <row r="286" spans="1:26" ht="12.5" x14ac:dyDescent="0.25">
      <c r="A286" s="12"/>
      <c r="B286" s="360">
        <v>45145</v>
      </c>
      <c r="C286" s="105" t="s">
        <v>489</v>
      </c>
      <c r="D286" s="4" t="s">
        <v>48</v>
      </c>
      <c r="E286" s="133" t="s">
        <v>12</v>
      </c>
      <c r="F286" s="269" t="s">
        <v>1802</v>
      </c>
      <c r="G286" s="240" t="s">
        <v>2039</v>
      </c>
      <c r="H286" s="264"/>
      <c r="I286" s="396"/>
      <c r="J286" s="396"/>
      <c r="K286" s="396">
        <v>-119.68</v>
      </c>
      <c r="L286" s="396">
        <f t="shared" si="34"/>
        <v>-119.68</v>
      </c>
      <c r="M286" s="396">
        <f t="shared" si="35"/>
        <v>7821.9899999999916</v>
      </c>
      <c r="N286" s="4"/>
      <c r="O286" s="62"/>
      <c r="P286"/>
      <c r="Q286"/>
      <c r="R286"/>
      <c r="S286" s="396"/>
      <c r="T286"/>
      <c r="U286" s="396"/>
      <c r="V286" s="11"/>
      <c r="W286" s="11"/>
      <c r="X286" s="11"/>
      <c r="Y286" s="11"/>
      <c r="Z286" s="11"/>
    </row>
    <row r="287" spans="1:26" ht="12.5" x14ac:dyDescent="0.25">
      <c r="A287" s="12"/>
      <c r="B287" s="360">
        <v>45155</v>
      </c>
      <c r="C287" s="105" t="s">
        <v>489</v>
      </c>
      <c r="D287" s="4" t="s">
        <v>58</v>
      </c>
      <c r="E287" s="133" t="s">
        <v>9</v>
      </c>
      <c r="F287" s="269" t="s">
        <v>486</v>
      </c>
      <c r="G287" s="240" t="s">
        <v>2039</v>
      </c>
      <c r="H287" s="264"/>
      <c r="I287" s="396"/>
      <c r="J287" s="396"/>
      <c r="K287" s="396">
        <v>-112.92</v>
      </c>
      <c r="L287" s="396">
        <f t="shared" si="34"/>
        <v>-112.92</v>
      </c>
      <c r="M287" s="396">
        <f t="shared" si="35"/>
        <v>7709.0699999999915</v>
      </c>
      <c r="N287" s="4"/>
      <c r="O287" s="62"/>
      <c r="P287"/>
      <c r="Q287"/>
      <c r="R287"/>
      <c r="S287" s="396"/>
      <c r="T287"/>
      <c r="U287" s="396"/>
      <c r="V287" s="11"/>
      <c r="W287" s="11"/>
      <c r="X287" s="11"/>
      <c r="Y287" s="11"/>
      <c r="Z287" s="11"/>
    </row>
    <row r="288" spans="1:26" ht="12.5" x14ac:dyDescent="0.25">
      <c r="A288" s="12"/>
      <c r="B288" s="360">
        <v>45156</v>
      </c>
      <c r="C288" s="105" t="s">
        <v>489</v>
      </c>
      <c r="D288" s="4" t="s">
        <v>58</v>
      </c>
      <c r="E288" s="133" t="s">
        <v>8</v>
      </c>
      <c r="F288" s="269" t="s">
        <v>2288</v>
      </c>
      <c r="G288" s="240" t="s">
        <v>2039</v>
      </c>
      <c r="H288" s="264"/>
      <c r="I288" s="396"/>
      <c r="J288" s="396"/>
      <c r="K288" s="396">
        <v>-21.03</v>
      </c>
      <c r="L288" s="396">
        <f t="shared" si="34"/>
        <v>-21.03</v>
      </c>
      <c r="M288" s="396">
        <f t="shared" si="35"/>
        <v>7688.0399999999918</v>
      </c>
      <c r="N288" s="4"/>
      <c r="O288" s="62"/>
      <c r="P288" s="15"/>
      <c r="Q288"/>
      <c r="R288"/>
      <c r="S288" s="396"/>
      <c r="T288"/>
      <c r="U288" s="396"/>
      <c r="V288" s="11"/>
      <c r="W288" s="11"/>
      <c r="X288" s="11"/>
      <c r="Y288" s="11"/>
      <c r="Z288" s="11"/>
    </row>
    <row r="289" spans="1:26" ht="12.5" x14ac:dyDescent="0.25">
      <c r="A289" s="12"/>
      <c r="B289" s="360">
        <v>45139</v>
      </c>
      <c r="C289" s="105" t="s">
        <v>489</v>
      </c>
      <c r="D289" s="11" t="s">
        <v>1870</v>
      </c>
      <c r="E289" s="394" t="s">
        <v>36</v>
      </c>
      <c r="F289" s="269" t="s">
        <v>2354</v>
      </c>
      <c r="G289" s="240" t="s">
        <v>2039</v>
      </c>
      <c r="H289" s="264"/>
      <c r="I289" s="396">
        <v>36</v>
      </c>
      <c r="J289" s="396"/>
      <c r="K289" s="396"/>
      <c r="L289" s="396">
        <f t="shared" si="34"/>
        <v>36</v>
      </c>
      <c r="M289" s="396">
        <f t="shared" si="35"/>
        <v>7724.0399999999918</v>
      </c>
      <c r="N289" s="4"/>
      <c r="O289" s="62"/>
      <c r="P289" s="15"/>
      <c r="Q289"/>
      <c r="R289"/>
      <c r="S289" s="396"/>
      <c r="T289"/>
      <c r="U289" s="396"/>
      <c r="V289" s="11"/>
      <c r="W289" s="11"/>
      <c r="X289" s="11"/>
      <c r="Y289" s="11"/>
      <c r="Z289" s="11"/>
    </row>
    <row r="290" spans="1:26" ht="12.5" x14ac:dyDescent="0.25">
      <c r="A290" s="12"/>
      <c r="B290" s="360">
        <v>45141</v>
      </c>
      <c r="C290" s="105" t="s">
        <v>489</v>
      </c>
      <c r="D290" s="11" t="s">
        <v>1845</v>
      </c>
      <c r="E290" s="394" t="s">
        <v>621</v>
      </c>
      <c r="F290" s="269" t="s">
        <v>1846</v>
      </c>
      <c r="G290" s="240" t="s">
        <v>2039</v>
      </c>
      <c r="H290" s="264"/>
      <c r="I290" s="396"/>
      <c r="J290" s="396"/>
      <c r="K290" s="396">
        <v>-10</v>
      </c>
      <c r="L290" s="396">
        <f t="shared" si="34"/>
        <v>-10</v>
      </c>
      <c r="M290" s="396">
        <f t="shared" si="35"/>
        <v>7714.0399999999918</v>
      </c>
      <c r="N290" s="4"/>
      <c r="O290" s="62"/>
      <c r="P290" s="15"/>
      <c r="Q290"/>
      <c r="R290"/>
      <c r="S290" s="396"/>
      <c r="T290"/>
      <c r="U290" s="396"/>
      <c r="V290" s="11"/>
      <c r="W290" s="11"/>
      <c r="X290" s="11"/>
      <c r="Y290" s="11"/>
      <c r="Z290" s="11"/>
    </row>
    <row r="291" spans="1:26" ht="12.5" x14ac:dyDescent="0.25">
      <c r="A291" s="12"/>
      <c r="B291" s="360">
        <v>45141</v>
      </c>
      <c r="C291" s="105" t="s">
        <v>489</v>
      </c>
      <c r="D291" s="11" t="s">
        <v>1845</v>
      </c>
      <c r="E291" s="394" t="s">
        <v>621</v>
      </c>
      <c r="F291" s="269" t="s">
        <v>2355</v>
      </c>
      <c r="G291" s="240" t="s">
        <v>2039</v>
      </c>
      <c r="H291" s="264"/>
      <c r="I291" s="396"/>
      <c r="J291" s="396"/>
      <c r="K291" s="396">
        <v>-37</v>
      </c>
      <c r="L291" s="396">
        <f t="shared" si="34"/>
        <v>-37</v>
      </c>
      <c r="M291" s="396">
        <f t="shared" si="35"/>
        <v>7677.0399999999918</v>
      </c>
      <c r="N291" s="4"/>
      <c r="O291" s="62"/>
      <c r="P291" s="11"/>
      <c r="Q291"/>
      <c r="R291"/>
      <c r="S291" s="396"/>
      <c r="T291"/>
      <c r="U291" s="396"/>
      <c r="V291" s="11"/>
      <c r="W291" s="11"/>
      <c r="X291" s="11"/>
      <c r="Y291" s="11"/>
      <c r="Z291" s="11"/>
    </row>
    <row r="292" spans="1:26" ht="12.5" x14ac:dyDescent="0.25">
      <c r="A292" s="12"/>
      <c r="B292" s="360">
        <v>45143</v>
      </c>
      <c r="C292" s="105" t="s">
        <v>489</v>
      </c>
      <c r="D292" s="11" t="s">
        <v>2341</v>
      </c>
      <c r="E292" s="394" t="s">
        <v>2116</v>
      </c>
      <c r="F292" s="269" t="s">
        <v>2342</v>
      </c>
      <c r="G292" s="240" t="s">
        <v>2039</v>
      </c>
      <c r="H292" s="264"/>
      <c r="I292" s="396"/>
      <c r="J292" s="396"/>
      <c r="K292" s="396">
        <v>-50</v>
      </c>
      <c r="L292" s="396">
        <f t="shared" si="34"/>
        <v>-50</v>
      </c>
      <c r="M292" s="396">
        <f t="shared" si="35"/>
        <v>7627.0399999999918</v>
      </c>
      <c r="N292" s="4"/>
      <c r="O292" s="62"/>
      <c r="P292" s="4"/>
      <c r="Q292"/>
      <c r="R292"/>
      <c r="S292" s="396"/>
      <c r="T292"/>
      <c r="U292" s="396"/>
      <c r="V292" s="11"/>
      <c r="W292" s="11"/>
      <c r="X292" s="11"/>
      <c r="Y292" s="11"/>
      <c r="Z292" s="11"/>
    </row>
    <row r="293" spans="1:26" ht="12.5" x14ac:dyDescent="0.25">
      <c r="A293" s="12"/>
      <c r="B293" s="360">
        <v>45146</v>
      </c>
      <c r="C293" s="105" t="s">
        <v>489</v>
      </c>
      <c r="D293" s="11" t="s">
        <v>2230</v>
      </c>
      <c r="E293" s="394" t="s">
        <v>37</v>
      </c>
      <c r="F293" s="269"/>
      <c r="G293" s="240" t="s">
        <v>2039</v>
      </c>
      <c r="H293" s="264"/>
      <c r="I293" s="396">
        <v>73</v>
      </c>
      <c r="J293" s="396"/>
      <c r="K293" s="396"/>
      <c r="L293" s="396">
        <f t="shared" si="34"/>
        <v>73</v>
      </c>
      <c r="M293" s="396">
        <f t="shared" si="35"/>
        <v>7700.0399999999918</v>
      </c>
      <c r="N293" s="4"/>
      <c r="O293" s="62"/>
      <c r="P293" s="11"/>
      <c r="S293" s="396"/>
      <c r="T293"/>
      <c r="U293" s="396"/>
      <c r="V293" s="11"/>
      <c r="W293" s="11"/>
      <c r="X293" s="11"/>
      <c r="Y293" s="11"/>
      <c r="Z293" s="11"/>
    </row>
    <row r="294" spans="1:26" ht="12.5" x14ac:dyDescent="0.25">
      <c r="A294" s="12"/>
      <c r="B294" s="360">
        <v>45153</v>
      </c>
      <c r="C294" s="105" t="s">
        <v>489</v>
      </c>
      <c r="D294" s="11" t="s">
        <v>2198</v>
      </c>
      <c r="E294" s="394" t="s">
        <v>36</v>
      </c>
      <c r="F294" s="269"/>
      <c r="G294" s="240" t="s">
        <v>2039</v>
      </c>
      <c r="H294" s="264"/>
      <c r="I294" s="396">
        <v>29.33</v>
      </c>
      <c r="J294" s="396"/>
      <c r="K294" s="396"/>
      <c r="L294" s="396">
        <f t="shared" si="34"/>
        <v>29.33</v>
      </c>
      <c r="M294" s="396">
        <f t="shared" si="35"/>
        <v>7729.3699999999917</v>
      </c>
      <c r="N294" s="4"/>
      <c r="O294" s="62"/>
      <c r="P294" s="11"/>
      <c r="S294" s="396"/>
      <c r="T294"/>
      <c r="U294" s="396"/>
      <c r="V294" s="11"/>
      <c r="W294" s="11"/>
      <c r="X294" s="11"/>
      <c r="Y294" s="11"/>
      <c r="Z294" s="11"/>
    </row>
    <row r="295" spans="1:26" ht="12.5" x14ac:dyDescent="0.25">
      <c r="A295" s="12"/>
      <c r="B295" s="360">
        <v>45159</v>
      </c>
      <c r="C295" s="105" t="s">
        <v>489</v>
      </c>
      <c r="D295" s="11" t="s">
        <v>2356</v>
      </c>
      <c r="E295" s="394" t="s">
        <v>37</v>
      </c>
      <c r="F295" s="269" t="s">
        <v>2357</v>
      </c>
      <c r="G295" s="240" t="s">
        <v>2039</v>
      </c>
      <c r="H295" s="264"/>
      <c r="I295" s="396">
        <v>63</v>
      </c>
      <c r="J295" s="396"/>
      <c r="K295" s="396"/>
      <c r="L295" s="396">
        <f t="shared" si="34"/>
        <v>63</v>
      </c>
      <c r="M295" s="396">
        <f t="shared" si="35"/>
        <v>7792.3699999999917</v>
      </c>
      <c r="N295" s="4"/>
      <c r="O295" s="62"/>
      <c r="P295" s="11"/>
      <c r="S295" s="396"/>
      <c r="T295"/>
      <c r="U295" s="396"/>
      <c r="V295" s="11"/>
      <c r="W295" s="11"/>
      <c r="X295" s="11"/>
      <c r="Y295" s="11"/>
      <c r="Z295" s="11"/>
    </row>
    <row r="296" spans="1:26" ht="12.5" x14ac:dyDescent="0.25">
      <c r="A296" s="12"/>
      <c r="B296" s="360">
        <v>45160</v>
      </c>
      <c r="C296" s="105" t="s">
        <v>489</v>
      </c>
      <c r="D296" s="11" t="s">
        <v>2170</v>
      </c>
      <c r="E296" s="394" t="s">
        <v>2116</v>
      </c>
      <c r="F296" s="269" t="s">
        <v>2358</v>
      </c>
      <c r="G296" s="240" t="s">
        <v>2039</v>
      </c>
      <c r="H296" s="264"/>
      <c r="I296" s="396"/>
      <c r="J296" s="396"/>
      <c r="K296" s="396">
        <v>-50</v>
      </c>
      <c r="L296" s="396">
        <f t="shared" si="34"/>
        <v>-50</v>
      </c>
      <c r="M296" s="396">
        <f t="shared" si="35"/>
        <v>7742.3699999999917</v>
      </c>
      <c r="N296" s="4"/>
      <c r="O296" s="62"/>
      <c r="P296"/>
      <c r="Q296"/>
      <c r="R296"/>
      <c r="S296" s="125"/>
      <c r="T296"/>
      <c r="U296" s="396"/>
      <c r="V296" s="11"/>
      <c r="W296" s="11"/>
      <c r="X296" s="11"/>
      <c r="Y296" s="11"/>
      <c r="Z296" s="11"/>
    </row>
    <row r="297" spans="1:26" ht="12.5" x14ac:dyDescent="0.25">
      <c r="A297" s="12"/>
      <c r="B297" s="360">
        <v>45162</v>
      </c>
      <c r="C297" s="105" t="s">
        <v>489</v>
      </c>
      <c r="D297" s="11" t="s">
        <v>2045</v>
      </c>
      <c r="E297" s="394" t="s">
        <v>2116</v>
      </c>
      <c r="F297" s="269" t="s">
        <v>2362</v>
      </c>
      <c r="G297" s="240" t="s">
        <v>2039</v>
      </c>
      <c r="H297" s="264"/>
      <c r="I297" s="396"/>
      <c r="J297" s="396"/>
      <c r="K297" s="396">
        <v>-150</v>
      </c>
      <c r="L297" s="396">
        <f t="shared" si="34"/>
        <v>-150</v>
      </c>
      <c r="M297" s="396">
        <f t="shared" si="35"/>
        <v>7592.3699999999917</v>
      </c>
      <c r="N297" s="4"/>
      <c r="O297" s="62"/>
      <c r="P297"/>
      <c r="Q297"/>
      <c r="R297"/>
      <c r="S297" s="4"/>
      <c r="T297"/>
      <c r="U297" s="396">
        <f>SUM(S286:S296)</f>
        <v>0</v>
      </c>
      <c r="V297" s="11"/>
      <c r="W297" s="11"/>
      <c r="X297" s="11"/>
      <c r="Y297" s="11"/>
      <c r="Z297" s="11"/>
    </row>
    <row r="298" spans="1:26" ht="12.5" x14ac:dyDescent="0.25">
      <c r="A298" s="12"/>
      <c r="B298" s="360">
        <v>45162</v>
      </c>
      <c r="C298" s="105" t="s">
        <v>489</v>
      </c>
      <c r="D298" s="11" t="s">
        <v>2045</v>
      </c>
      <c r="E298" s="394" t="s">
        <v>37</v>
      </c>
      <c r="F298" s="269" t="s">
        <v>2362</v>
      </c>
      <c r="G298" s="240" t="s">
        <v>2039</v>
      </c>
      <c r="H298" s="264"/>
      <c r="I298" s="396">
        <v>150</v>
      </c>
      <c r="J298" s="396"/>
      <c r="K298" s="396"/>
      <c r="L298" s="396">
        <f t="shared" si="34"/>
        <v>150</v>
      </c>
      <c r="M298" s="396">
        <f t="shared" si="35"/>
        <v>7742.3699999999917</v>
      </c>
      <c r="N298" s="4"/>
      <c r="O298" s="62"/>
      <c r="P298"/>
      <c r="Q298"/>
      <c r="R298"/>
      <c r="S298" s="4"/>
      <c r="T298"/>
      <c r="U298" s="396"/>
      <c r="V298" s="11"/>
      <c r="W298" s="11"/>
      <c r="X298" s="11"/>
      <c r="Y298" s="11"/>
      <c r="Z298" s="11"/>
    </row>
    <row r="299" spans="1:26" x14ac:dyDescent="0.25">
      <c r="A299" s="12"/>
      <c r="C299" s="105" t="s">
        <v>489</v>
      </c>
      <c r="D299" s="11"/>
      <c r="E299" s="394"/>
      <c r="F299" s="269"/>
      <c r="G299" s="240" t="s">
        <v>2039</v>
      </c>
      <c r="H299" s="264"/>
      <c r="I299" s="396"/>
      <c r="J299" s="396"/>
      <c r="K299" s="396"/>
      <c r="L299" s="396">
        <f t="shared" si="34"/>
        <v>0</v>
      </c>
      <c r="M299" s="396">
        <f t="shared" si="35"/>
        <v>7742.3699999999917</v>
      </c>
      <c r="N299" s="4"/>
      <c r="O299" s="62"/>
      <c r="P299"/>
      <c r="Q299"/>
      <c r="R299"/>
      <c r="S299" s="4"/>
      <c r="T299"/>
      <c r="U299" s="397">
        <f>U285+U297</f>
        <v>7742.37</v>
      </c>
      <c r="V299" s="11"/>
      <c r="W299" s="11"/>
      <c r="X299" s="11"/>
      <c r="Y299" s="11"/>
      <c r="Z299" s="11"/>
    </row>
    <row r="300" spans="1:26" ht="12.5" x14ac:dyDescent="0.25">
      <c r="A300" s="12"/>
      <c r="C300" s="105" t="s">
        <v>489</v>
      </c>
      <c r="D300" s="11"/>
      <c r="E300" s="394"/>
      <c r="F300" s="269"/>
      <c r="G300" s="240" t="s">
        <v>2039</v>
      </c>
      <c r="H300" s="264"/>
      <c r="I300" s="396"/>
      <c r="J300" s="396"/>
      <c r="K300" s="396"/>
      <c r="L300" s="396">
        <f t="shared" si="34"/>
        <v>0</v>
      </c>
      <c r="M300" s="396">
        <f t="shared" si="35"/>
        <v>7742.3699999999917</v>
      </c>
      <c r="N300" s="4"/>
      <c r="O300" s="62"/>
      <c r="P300"/>
      <c r="Q300"/>
      <c r="R300"/>
      <c r="S300" s="4"/>
      <c r="T300"/>
      <c r="U300" s="396">
        <f>VLOOKUP("Aug End",C:M,11,FALSE)-U299</f>
        <v>-8.1854523159563541E-12</v>
      </c>
      <c r="V300" s="11"/>
      <c r="W300" s="11"/>
      <c r="X300" s="11"/>
      <c r="Y300" s="11"/>
      <c r="Z300" s="11"/>
    </row>
    <row r="301" spans="1:26" ht="12.5" x14ac:dyDescent="0.25">
      <c r="A301" s="12"/>
      <c r="C301" s="105" t="s">
        <v>489</v>
      </c>
      <c r="D301" s="11"/>
      <c r="E301" s="394"/>
      <c r="F301" s="269"/>
      <c r="G301" s="240" t="s">
        <v>2039</v>
      </c>
      <c r="H301" s="264"/>
      <c r="I301" s="396"/>
      <c r="J301" s="396"/>
      <c r="K301" s="396"/>
      <c r="L301" s="396">
        <f t="shared" si="34"/>
        <v>0</v>
      </c>
      <c r="M301" s="396">
        <f t="shared" si="35"/>
        <v>7742.3699999999917</v>
      </c>
      <c r="N301" s="4"/>
      <c r="O301" s="62"/>
      <c r="P301"/>
      <c r="Q301"/>
      <c r="R301"/>
      <c r="S301" s="4"/>
      <c r="T301"/>
      <c r="V301" s="11"/>
      <c r="W301" s="11"/>
      <c r="X301" s="11"/>
      <c r="Y301" s="11"/>
      <c r="Z301" s="11"/>
    </row>
    <row r="302" spans="1:26" ht="12.5" x14ac:dyDescent="0.25">
      <c r="A302" s="12"/>
      <c r="C302" s="105" t="s">
        <v>489</v>
      </c>
      <c r="D302" s="11"/>
      <c r="E302" s="394"/>
      <c r="F302" s="269"/>
      <c r="G302" s="240" t="s">
        <v>2039</v>
      </c>
      <c r="H302" s="264"/>
      <c r="I302" s="396"/>
      <c r="J302" s="396"/>
      <c r="K302" s="396"/>
      <c r="L302" s="396">
        <f t="shared" si="34"/>
        <v>0</v>
      </c>
      <c r="M302" s="396">
        <f t="shared" si="35"/>
        <v>7742.3699999999917</v>
      </c>
      <c r="N302" s="4"/>
      <c r="O302" s="62"/>
      <c r="P302"/>
      <c r="Q302"/>
      <c r="R302"/>
      <c r="S302" s="4"/>
      <c r="T302"/>
      <c r="V302" s="11"/>
      <c r="W302" s="11"/>
      <c r="X302" s="11"/>
      <c r="Y302" s="11"/>
      <c r="Z302" s="11"/>
    </row>
    <row r="303" spans="1:26" ht="12.5" x14ac:dyDescent="0.25">
      <c r="A303" s="12"/>
      <c r="C303" s="105" t="s">
        <v>489</v>
      </c>
      <c r="D303" s="11"/>
      <c r="E303" s="394"/>
      <c r="F303" s="269"/>
      <c r="G303" s="240" t="s">
        <v>2039</v>
      </c>
      <c r="H303" s="264"/>
      <c r="I303" s="396"/>
      <c r="J303" s="396"/>
      <c r="K303" s="396"/>
      <c r="L303" s="396">
        <f t="shared" si="34"/>
        <v>0</v>
      </c>
      <c r="M303" s="396">
        <f t="shared" si="35"/>
        <v>7742.3699999999917</v>
      </c>
      <c r="N303" s="4"/>
      <c r="O303" s="62"/>
      <c r="P303"/>
      <c r="Q303"/>
      <c r="R303"/>
      <c r="S303" s="4"/>
      <c r="T303"/>
      <c r="V303" s="11"/>
      <c r="W303" s="11"/>
      <c r="X303" s="11"/>
      <c r="Y303" s="11"/>
      <c r="Z303" s="11"/>
    </row>
    <row r="304" spans="1:26" ht="12.5" x14ac:dyDescent="0.25">
      <c r="A304" s="12"/>
      <c r="C304" s="105" t="s">
        <v>489</v>
      </c>
      <c r="D304" s="11"/>
      <c r="E304" s="394"/>
      <c r="F304" s="269"/>
      <c r="G304" s="240" t="s">
        <v>2039</v>
      </c>
      <c r="H304" s="264"/>
      <c r="I304" s="396"/>
      <c r="J304" s="396"/>
      <c r="K304" s="396"/>
      <c r="L304" s="396">
        <f t="shared" si="34"/>
        <v>0</v>
      </c>
      <c r="M304" s="396">
        <f t="shared" si="35"/>
        <v>7742.3699999999917</v>
      </c>
      <c r="N304" s="4"/>
      <c r="O304" s="62"/>
      <c r="P304"/>
      <c r="Q304"/>
      <c r="R304"/>
      <c r="S304" s="4"/>
      <c r="T304"/>
      <c r="V304" s="11"/>
      <c r="W304" s="11"/>
      <c r="X304" s="11"/>
      <c r="Y304" s="11"/>
      <c r="Z304" s="11"/>
    </row>
    <row r="305" spans="1:26" ht="12.5" x14ac:dyDescent="0.25">
      <c r="A305" s="12"/>
      <c r="C305" s="105" t="s">
        <v>2351</v>
      </c>
      <c r="D305" s="11"/>
      <c r="E305" s="394"/>
      <c r="F305" s="269"/>
      <c r="G305" s="240" t="s">
        <v>2039</v>
      </c>
      <c r="H305" s="264"/>
      <c r="I305" s="396"/>
      <c r="J305" s="396"/>
      <c r="K305" s="396"/>
      <c r="L305" s="396">
        <f t="shared" ref="L305" si="36">I305+K305</f>
        <v>0</v>
      </c>
      <c r="M305" s="396">
        <f t="shared" ref="M305" si="37">M304+L305</f>
        <v>7742.3699999999917</v>
      </c>
      <c r="N305" s="4"/>
      <c r="O305" s="62"/>
      <c r="P305"/>
      <c r="Q305"/>
      <c r="R305"/>
      <c r="S305" s="4"/>
      <c r="T305"/>
      <c r="V305" s="11"/>
      <c r="W305" s="11"/>
      <c r="X305" s="11"/>
      <c r="Y305" s="11"/>
      <c r="Z305" s="11"/>
    </row>
    <row r="306" spans="1:26" ht="12.5" x14ac:dyDescent="0.25">
      <c r="A306" s="12"/>
      <c r="C306" s="105"/>
      <c r="D306" s="11"/>
      <c r="E306" s="394"/>
      <c r="F306" s="269"/>
      <c r="G306" s="240" t="s">
        <v>2039</v>
      </c>
      <c r="H306" s="264"/>
      <c r="I306" s="396"/>
      <c r="J306" s="396"/>
      <c r="K306" s="396"/>
      <c r="L306" s="396"/>
      <c r="M306" s="396"/>
      <c r="N306" s="4"/>
      <c r="O306" s="62"/>
      <c r="P306"/>
      <c r="Q306"/>
      <c r="R306"/>
      <c r="S306" s="4"/>
      <c r="T306"/>
      <c r="V306" s="11"/>
      <c r="W306" s="11"/>
      <c r="X306" s="11"/>
      <c r="Y306" s="11"/>
      <c r="Z306" s="11"/>
    </row>
    <row r="307" spans="1:26" ht="12.5" x14ac:dyDescent="0.25">
      <c r="A307" s="12"/>
      <c r="C307" s="105"/>
      <c r="D307" s="11"/>
      <c r="E307" s="394"/>
      <c r="F307" s="269"/>
      <c r="G307" s="240" t="s">
        <v>2039</v>
      </c>
      <c r="H307" s="264"/>
      <c r="I307" s="396"/>
      <c r="J307" s="396"/>
      <c r="K307" s="396"/>
      <c r="L307" s="396"/>
      <c r="M307" s="396"/>
      <c r="N307" s="4"/>
      <c r="O307" s="62"/>
      <c r="P307"/>
      <c r="Q307"/>
      <c r="R307"/>
      <c r="S307" s="4"/>
      <c r="T307"/>
      <c r="V307" s="11"/>
      <c r="W307" s="11"/>
      <c r="X307" s="11"/>
      <c r="Y307" s="11"/>
      <c r="Z307" s="11"/>
    </row>
    <row r="308" spans="1:26" ht="12.5" x14ac:dyDescent="0.25">
      <c r="A308" s="12"/>
      <c r="C308" s="105"/>
      <c r="D308" s="11"/>
      <c r="E308" s="394"/>
      <c r="F308" s="269"/>
      <c r="G308" s="240" t="s">
        <v>2039</v>
      </c>
      <c r="H308" s="264"/>
      <c r="I308" s="396"/>
      <c r="J308" s="396"/>
      <c r="K308" s="396"/>
      <c r="L308" s="396"/>
      <c r="M308" s="396"/>
      <c r="N308" s="4"/>
      <c r="O308" s="62"/>
      <c r="P308"/>
      <c r="Q308"/>
      <c r="R308"/>
      <c r="S308" s="4"/>
      <c r="T308"/>
      <c r="V308" s="11"/>
      <c r="W308" s="11"/>
      <c r="X308" s="11"/>
      <c r="Y308" s="11"/>
      <c r="Z308" s="11"/>
    </row>
    <row r="309" spans="1:26" ht="13.5" thickBot="1" x14ac:dyDescent="0.35">
      <c r="A309" s="12"/>
      <c r="C309" s="105"/>
      <c r="D309" s="11"/>
      <c r="E309" s="27"/>
      <c r="F309" s="33"/>
      <c r="G309" s="240" t="s">
        <v>2039</v>
      </c>
      <c r="H309" s="33">
        <f>+M38</f>
        <v>0</v>
      </c>
      <c r="I309" s="173"/>
      <c r="J309" s="173"/>
      <c r="K309" s="173"/>
      <c r="L309" s="43">
        <f>I309+K309</f>
        <v>0</v>
      </c>
      <c r="M309" s="396">
        <f>+M281+L309</f>
        <v>8045.6499999999924</v>
      </c>
      <c r="P309"/>
      <c r="Q309"/>
      <c r="R309"/>
      <c r="S309" s="4"/>
      <c r="T309"/>
      <c r="V309" s="11"/>
      <c r="W309" s="11"/>
      <c r="X309" s="11"/>
      <c r="Y309" s="11"/>
      <c r="Z309" s="11"/>
    </row>
    <row r="310" spans="1:26" ht="13.5" thickTop="1" x14ac:dyDescent="0.3">
      <c r="A310" s="12"/>
      <c r="C310" s="105"/>
      <c r="D310" s="11"/>
      <c r="E310" s="27"/>
      <c r="F310" s="33"/>
      <c r="G310" s="240" t="s">
        <v>2039</v>
      </c>
      <c r="H310" s="33"/>
      <c r="I310" s="42"/>
      <c r="J310" s="42"/>
      <c r="K310" s="42"/>
      <c r="L310" s="43">
        <f>I310+K310</f>
        <v>0</v>
      </c>
      <c r="S310" s="11"/>
      <c r="T310" s="11"/>
      <c r="V310" s="11"/>
      <c r="W310" s="11"/>
      <c r="X310" s="11"/>
      <c r="Y310" s="11"/>
      <c r="Z310" s="11"/>
    </row>
    <row r="311" spans="1:26" x14ac:dyDescent="0.3">
      <c r="A311" s="12"/>
      <c r="C311" s="105"/>
      <c r="D311" s="11"/>
      <c r="E311" s="27"/>
      <c r="F311" s="33"/>
      <c r="G311" s="27"/>
      <c r="H311" s="33"/>
      <c r="I311" s="42"/>
      <c r="J311" s="42"/>
      <c r="K311" s="42"/>
      <c r="S311" s="11"/>
      <c r="T311" s="11"/>
      <c r="V311" s="11"/>
      <c r="W311" s="11"/>
      <c r="X311" s="11"/>
      <c r="Y311" s="11"/>
      <c r="Z311" s="11"/>
    </row>
    <row r="312" spans="1:26" x14ac:dyDescent="0.3">
      <c r="A312" s="12"/>
      <c r="C312" s="105"/>
      <c r="D312" s="11" t="s">
        <v>110</v>
      </c>
      <c r="E312" s="27"/>
      <c r="F312" s="33"/>
      <c r="G312" s="27"/>
      <c r="H312" s="33"/>
      <c r="I312" s="42"/>
      <c r="J312" s="42"/>
      <c r="K312" s="42"/>
      <c r="S312" s="11"/>
      <c r="T312" s="11"/>
      <c r="V312" s="11"/>
      <c r="W312" s="11"/>
      <c r="X312" s="11"/>
      <c r="Y312" s="11"/>
      <c r="Z312" s="11"/>
    </row>
    <row r="313" spans="1:26" x14ac:dyDescent="0.3">
      <c r="A313" s="26"/>
      <c r="C313" s="105"/>
      <c r="D313" s="11" t="s">
        <v>111</v>
      </c>
      <c r="E313" s="27"/>
      <c r="G313" s="11"/>
      <c r="L313" s="254" t="s">
        <v>1273</v>
      </c>
      <c r="M313" s="43">
        <f>SUM(L312:L313)</f>
        <v>0</v>
      </c>
      <c r="P313" s="213"/>
      <c r="Q313"/>
      <c r="S313" s="11"/>
      <c r="T313" s="11"/>
      <c r="V313" s="11"/>
      <c r="W313" s="11"/>
      <c r="X313" s="11"/>
      <c r="Y313" s="11"/>
      <c r="Z313" s="11"/>
    </row>
    <row r="314" spans="1:26" x14ac:dyDescent="0.3">
      <c r="A314" s="26"/>
      <c r="C314" s="105"/>
      <c r="D314" s="11"/>
      <c r="E314" s="27"/>
      <c r="G314" s="11"/>
      <c r="P314" s="213"/>
      <c r="Q314"/>
      <c r="R314" s="261"/>
      <c r="S314"/>
      <c r="T314" s="261"/>
      <c r="V314" s="262"/>
    </row>
    <row r="315" spans="1:26" x14ac:dyDescent="0.3">
      <c r="A315" s="26"/>
      <c r="C315" s="105"/>
      <c r="D315" s="4" t="s">
        <v>1284</v>
      </c>
      <c r="E315" s="27"/>
      <c r="G315" s="11"/>
      <c r="P315" s="213"/>
      <c r="Q315"/>
      <c r="R315" s="261"/>
      <c r="S315"/>
      <c r="T315" s="261"/>
      <c r="V315" s="262"/>
    </row>
    <row r="316" spans="1:26" x14ac:dyDescent="0.3">
      <c r="A316" s="26"/>
      <c r="C316" s="105"/>
      <c r="D316"/>
      <c r="E316"/>
      <c r="F316" s="4"/>
      <c r="P316" s="213"/>
      <c r="Q316"/>
      <c r="R316" s="261"/>
      <c r="S316"/>
      <c r="T316" s="261"/>
    </row>
    <row r="317" spans="1:26" ht="13.5" thickBot="1" x14ac:dyDescent="0.35">
      <c r="A317" s="26"/>
      <c r="C317" s="105"/>
      <c r="D317" s="11"/>
      <c r="E317" s="52"/>
    </row>
    <row r="318" spans="1:26" ht="13.5" thickBot="1" x14ac:dyDescent="0.35">
      <c r="A318" s="12"/>
      <c r="C318" s="105"/>
      <c r="D318" s="74" t="s">
        <v>1270</v>
      </c>
      <c r="E318" s="27"/>
      <c r="G318" s="11"/>
      <c r="M318" s="256">
        <f>SUM(M312:M317)</f>
        <v>0</v>
      </c>
    </row>
    <row r="319" spans="1:26" ht="13.5" thickTop="1" x14ac:dyDescent="0.3">
      <c r="A319" s="12"/>
      <c r="C319" s="105"/>
      <c r="D319" s="11"/>
      <c r="E319" s="27"/>
      <c r="G319" s="11"/>
    </row>
    <row r="320" spans="1:26" x14ac:dyDescent="0.3">
      <c r="C320" s="29"/>
      <c r="D320" s="11"/>
      <c r="E320" s="27"/>
      <c r="G320" s="11"/>
    </row>
    <row r="321" spans="1:14" x14ac:dyDescent="0.3">
      <c r="A321" s="24"/>
      <c r="B321" s="364"/>
      <c r="C321" s="257"/>
      <c r="D321" s="11"/>
      <c r="E321" s="27"/>
      <c r="G321" s="11"/>
    </row>
    <row r="322" spans="1:14" x14ac:dyDescent="0.3">
      <c r="A322" s="12"/>
      <c r="C322" s="409" t="s">
        <v>2182</v>
      </c>
      <c r="E322" s="52"/>
    </row>
    <row r="323" spans="1:14" x14ac:dyDescent="0.3">
      <c r="A323" s="12"/>
      <c r="C323" s="59"/>
      <c r="D323" s="257"/>
      <c r="E323" s="4"/>
      <c r="J323" s="254"/>
    </row>
    <row r="324" spans="1:14" x14ac:dyDescent="0.3">
      <c r="A324" s="12"/>
      <c r="C324" s="59"/>
      <c r="D324" s="257"/>
      <c r="E324" s="4"/>
      <c r="J324" s="254"/>
    </row>
    <row r="325" spans="1:14" x14ac:dyDescent="0.3">
      <c r="A325" s="12"/>
      <c r="C325" s="59"/>
      <c r="D325" s="106" t="s">
        <v>489</v>
      </c>
      <c r="E325" s="4" t="s">
        <v>1591</v>
      </c>
      <c r="H325" s="13">
        <v>50</v>
      </c>
      <c r="J325" s="254" t="s">
        <v>1972</v>
      </c>
    </row>
    <row r="326" spans="1:14" x14ac:dyDescent="0.3">
      <c r="A326" s="12"/>
      <c r="C326" s="59"/>
      <c r="D326" s="105" t="s">
        <v>400</v>
      </c>
      <c r="E326" s="4" t="s">
        <v>1642</v>
      </c>
      <c r="H326" s="13">
        <v>50</v>
      </c>
      <c r="J326" s="254" t="s">
        <v>1972</v>
      </c>
      <c r="K326" s="1"/>
      <c r="L326"/>
      <c r="M326" s="1"/>
    </row>
    <row r="327" spans="1:14" x14ac:dyDescent="0.3">
      <c r="A327" s="12"/>
      <c r="C327" s="59"/>
      <c r="D327" s="105" t="s">
        <v>400</v>
      </c>
      <c r="E327" s="4" t="s">
        <v>1655</v>
      </c>
      <c r="H327" s="13">
        <v>50</v>
      </c>
      <c r="J327" s="254" t="s">
        <v>1972</v>
      </c>
    </row>
    <row r="328" spans="1:14" ht="17.25" customHeight="1" x14ac:dyDescent="0.3">
      <c r="A328" s="12"/>
      <c r="C328" s="59"/>
      <c r="D328" s="131" t="s">
        <v>491</v>
      </c>
      <c r="E328" s="4" t="s">
        <v>1713</v>
      </c>
      <c r="H328" s="13">
        <v>50</v>
      </c>
      <c r="J328" s="254" t="s">
        <v>1972</v>
      </c>
    </row>
    <row r="329" spans="1:14" x14ac:dyDescent="0.3">
      <c r="A329" s="12"/>
      <c r="C329" s="59"/>
      <c r="D329" s="131" t="s">
        <v>745</v>
      </c>
      <c r="E329" s="4" t="s">
        <v>2033</v>
      </c>
      <c r="H329" s="13">
        <v>150</v>
      </c>
      <c r="J329" s="254" t="s">
        <v>2034</v>
      </c>
    </row>
    <row r="330" spans="1:14" x14ac:dyDescent="0.3">
      <c r="A330" s="12"/>
      <c r="C330" s="59"/>
      <c r="D330" s="131" t="s">
        <v>2019</v>
      </c>
      <c r="E330" s="4" t="s">
        <v>1966</v>
      </c>
      <c r="H330" s="13">
        <v>50</v>
      </c>
      <c r="J330" s="254" t="s">
        <v>1973</v>
      </c>
      <c r="M330" s="43" t="s">
        <v>1095</v>
      </c>
    </row>
    <row r="331" spans="1:14" x14ac:dyDescent="0.3">
      <c r="C331" s="284"/>
      <c r="D331" s="105" t="s">
        <v>2021</v>
      </c>
      <c r="E331" s="4" t="s">
        <v>2045</v>
      </c>
      <c r="F331" s="120"/>
      <c r="G331" s="27"/>
      <c r="H331" s="210">
        <f>150-150</f>
        <v>0</v>
      </c>
      <c r="I331" s="42"/>
      <c r="J331" s="43" t="s">
        <v>2049</v>
      </c>
      <c r="M331" s="43" t="s">
        <v>2361</v>
      </c>
      <c r="N331" s="186" t="s">
        <v>2332</v>
      </c>
    </row>
    <row r="332" spans="1:14" x14ac:dyDescent="0.3">
      <c r="C332" s="284"/>
      <c r="D332" s="105" t="s">
        <v>2026</v>
      </c>
      <c r="E332" s="128" t="s">
        <v>907</v>
      </c>
      <c r="F332" s="120"/>
      <c r="G332" s="27"/>
      <c r="H332" s="210">
        <f>50-50</f>
        <v>0</v>
      </c>
      <c r="I332" s="42"/>
      <c r="J332" s="43" t="s">
        <v>2050</v>
      </c>
      <c r="M332" s="43" t="s">
        <v>2137</v>
      </c>
    </row>
    <row r="333" spans="1:14" x14ac:dyDescent="0.3">
      <c r="C333" s="284"/>
      <c r="D333" s="105" t="s">
        <v>2108</v>
      </c>
      <c r="E333" s="128" t="s">
        <v>2109</v>
      </c>
      <c r="F333" s="120"/>
      <c r="G333" s="27"/>
      <c r="H333" s="1">
        <f>50-50</f>
        <v>0</v>
      </c>
      <c r="I333" s="42"/>
      <c r="J333" s="43" t="s">
        <v>2107</v>
      </c>
      <c r="M333" s="43" t="s">
        <v>2115</v>
      </c>
    </row>
    <row r="334" spans="1:14" x14ac:dyDescent="0.3">
      <c r="C334" s="284"/>
      <c r="D334" s="105" t="s">
        <v>2144</v>
      </c>
      <c r="E334" s="128" t="s">
        <v>2135</v>
      </c>
      <c r="F334" s="120"/>
      <c r="G334" s="27"/>
      <c r="H334" s="210">
        <f>29-29</f>
        <v>0</v>
      </c>
      <c r="I334" s="42"/>
      <c r="J334" s="43" t="s">
        <v>2136</v>
      </c>
      <c r="M334" s="43" t="s">
        <v>2179</v>
      </c>
    </row>
    <row r="335" spans="1:14" x14ac:dyDescent="0.3">
      <c r="C335" s="284"/>
      <c r="D335" s="105" t="s">
        <v>2144</v>
      </c>
      <c r="E335" s="128" t="s">
        <v>2066</v>
      </c>
      <c r="F335" s="120"/>
      <c r="G335" s="27"/>
      <c r="H335" s="210">
        <f>50-50</f>
        <v>0</v>
      </c>
      <c r="I335" s="42"/>
      <c r="J335" s="43" t="s">
        <v>2145</v>
      </c>
      <c r="M335" s="43" t="s">
        <v>2148</v>
      </c>
    </row>
    <row r="336" spans="1:14" x14ac:dyDescent="0.3">
      <c r="C336" s="284"/>
      <c r="D336" s="105" t="s">
        <v>2144</v>
      </c>
      <c r="E336" s="128" t="s">
        <v>2139</v>
      </c>
      <c r="F336" s="120"/>
      <c r="G336" s="27"/>
      <c r="H336" s="210">
        <f>50-50</f>
        <v>0</v>
      </c>
      <c r="I336" s="42"/>
      <c r="J336" s="43" t="s">
        <v>2154</v>
      </c>
      <c r="M336" s="43" t="s">
        <v>2180</v>
      </c>
    </row>
    <row r="337" spans="3:13" x14ac:dyDescent="0.3">
      <c r="C337" s="284"/>
      <c r="D337" s="105" t="s">
        <v>2171</v>
      </c>
      <c r="E337" s="128" t="s">
        <v>2165</v>
      </c>
      <c r="F337" s="120"/>
      <c r="G337" s="27"/>
      <c r="H337" s="210">
        <v>150</v>
      </c>
      <c r="I337" s="42"/>
      <c r="J337" s="43" t="s">
        <v>2172</v>
      </c>
    </row>
    <row r="338" spans="3:13" x14ac:dyDescent="0.3">
      <c r="C338" s="284"/>
      <c r="D338" s="105" t="s">
        <v>2171</v>
      </c>
      <c r="E338" s="128" t="s">
        <v>2169</v>
      </c>
      <c r="F338" s="120"/>
      <c r="G338" s="27"/>
      <c r="H338" s="210">
        <v>150</v>
      </c>
      <c r="I338" s="42"/>
      <c r="J338" s="43" t="s">
        <v>2173</v>
      </c>
    </row>
    <row r="339" spans="3:13" x14ac:dyDescent="0.3">
      <c r="C339" s="284"/>
      <c r="D339" s="105" t="s">
        <v>2171</v>
      </c>
      <c r="E339" s="128" t="s">
        <v>1847</v>
      </c>
      <c r="F339" s="120"/>
      <c r="G339" s="27"/>
      <c r="H339" s="210">
        <f>78-78</f>
        <v>0</v>
      </c>
      <c r="I339" s="42"/>
      <c r="J339" s="43" t="s">
        <v>2132</v>
      </c>
      <c r="M339" s="43" t="s">
        <v>2211</v>
      </c>
    </row>
    <row r="340" spans="3:13" x14ac:dyDescent="0.3">
      <c r="C340" s="284"/>
      <c r="D340" s="105" t="s">
        <v>2171</v>
      </c>
      <c r="E340" s="128" t="s">
        <v>2166</v>
      </c>
      <c r="F340" s="120"/>
      <c r="G340" s="27"/>
      <c r="H340" s="210">
        <f t="shared" ref="H340:H347" si="38">50-50</f>
        <v>0</v>
      </c>
      <c r="I340" s="42"/>
      <c r="J340" s="43" t="s">
        <v>2146</v>
      </c>
      <c r="M340" s="43" t="s">
        <v>2202</v>
      </c>
    </row>
    <row r="341" spans="3:13" x14ac:dyDescent="0.3">
      <c r="C341" s="284"/>
      <c r="D341" s="105" t="s">
        <v>2171</v>
      </c>
      <c r="E341" s="128" t="s">
        <v>2174</v>
      </c>
      <c r="F341" s="120"/>
      <c r="G341" s="27"/>
      <c r="H341" s="210">
        <f t="shared" si="38"/>
        <v>0</v>
      </c>
      <c r="I341" s="42"/>
      <c r="J341" s="43" t="s">
        <v>2187</v>
      </c>
      <c r="M341" s="43" t="s">
        <v>2203</v>
      </c>
    </row>
    <row r="342" spans="3:13" x14ac:dyDescent="0.3">
      <c r="C342" s="284"/>
      <c r="D342" s="105" t="s">
        <v>2171</v>
      </c>
      <c r="E342" s="11" t="s">
        <v>2167</v>
      </c>
      <c r="F342" s="120"/>
      <c r="G342" s="27"/>
      <c r="H342" s="210">
        <f t="shared" si="38"/>
        <v>0</v>
      </c>
      <c r="I342" s="42"/>
      <c r="J342" s="43" t="s">
        <v>2178</v>
      </c>
      <c r="M342" s="43" t="s">
        <v>2211</v>
      </c>
    </row>
    <row r="343" spans="3:13" x14ac:dyDescent="0.3">
      <c r="C343" s="284"/>
      <c r="D343" s="105" t="s">
        <v>2171</v>
      </c>
      <c r="E343" s="11" t="s">
        <v>1296</v>
      </c>
      <c r="F343" s="120"/>
      <c r="G343" s="27"/>
      <c r="H343" s="210">
        <f t="shared" si="38"/>
        <v>0</v>
      </c>
      <c r="I343" s="42"/>
      <c r="J343" s="43" t="s">
        <v>2122</v>
      </c>
      <c r="M343" s="43" t="s">
        <v>2208</v>
      </c>
    </row>
    <row r="344" spans="3:13" x14ac:dyDescent="0.3">
      <c r="C344" s="284"/>
      <c r="D344" s="105" t="s">
        <v>2193</v>
      </c>
      <c r="E344" s="11" t="s">
        <v>2194</v>
      </c>
      <c r="F344" s="120"/>
      <c r="G344" s="27"/>
      <c r="H344" s="210">
        <f t="shared" si="38"/>
        <v>0</v>
      </c>
      <c r="I344" s="42"/>
      <c r="J344" s="43" t="s">
        <v>2192</v>
      </c>
      <c r="M344" s="43" t="s">
        <v>2212</v>
      </c>
    </row>
    <row r="345" spans="3:13" x14ac:dyDescent="0.3">
      <c r="C345" s="284"/>
      <c r="D345" s="105" t="s">
        <v>2193</v>
      </c>
      <c r="E345" s="11" t="s">
        <v>2206</v>
      </c>
      <c r="F345" s="120"/>
      <c r="G345" s="27"/>
      <c r="H345" s="210">
        <f t="shared" si="38"/>
        <v>0</v>
      </c>
      <c r="I345" s="42"/>
      <c r="J345" s="43" t="s">
        <v>2205</v>
      </c>
      <c r="M345" s="43" t="s">
        <v>2279</v>
      </c>
    </row>
    <row r="346" spans="3:13" x14ac:dyDescent="0.3">
      <c r="C346" s="284"/>
      <c r="D346" s="105" t="s">
        <v>2193</v>
      </c>
      <c r="E346" s="11" t="s">
        <v>2195</v>
      </c>
      <c r="F346" s="120"/>
      <c r="G346" s="27"/>
      <c r="H346" s="210">
        <f t="shared" si="38"/>
        <v>0</v>
      </c>
      <c r="I346" s="42"/>
      <c r="J346" s="43" t="s">
        <v>2196</v>
      </c>
      <c r="M346" s="43" t="s">
        <v>2280</v>
      </c>
    </row>
    <row r="347" spans="3:13" x14ac:dyDescent="0.3">
      <c r="C347" s="284"/>
      <c r="D347" s="105" t="s">
        <v>2282</v>
      </c>
      <c r="E347" s="11" t="s">
        <v>2258</v>
      </c>
      <c r="F347" s="120"/>
      <c r="G347" s="27"/>
      <c r="H347" s="210">
        <f t="shared" si="38"/>
        <v>0</v>
      </c>
      <c r="I347" s="42"/>
      <c r="J347" s="43" t="s">
        <v>2259</v>
      </c>
      <c r="M347" s="43" t="s">
        <v>2281</v>
      </c>
    </row>
    <row r="348" spans="3:13" x14ac:dyDescent="0.3">
      <c r="C348" s="284"/>
      <c r="D348" s="105" t="s">
        <v>2282</v>
      </c>
      <c r="E348" s="11" t="s">
        <v>2216</v>
      </c>
      <c r="F348" s="120"/>
      <c r="G348" s="27"/>
      <c r="H348" s="210">
        <f>50-50</f>
        <v>0</v>
      </c>
      <c r="I348" s="42"/>
      <c r="J348" s="43" t="s">
        <v>2217</v>
      </c>
      <c r="M348" s="43" t="s">
        <v>2295</v>
      </c>
    </row>
    <row r="349" spans="3:13" x14ac:dyDescent="0.3">
      <c r="C349" s="284"/>
      <c r="D349" s="105" t="s">
        <v>2303</v>
      </c>
      <c r="E349" s="11" t="s">
        <v>2302</v>
      </c>
      <c r="F349" s="120"/>
      <c r="G349" s="27"/>
      <c r="H349" s="210">
        <f>50-50</f>
        <v>0</v>
      </c>
      <c r="I349" s="42"/>
      <c r="J349" s="43" t="s">
        <v>2304</v>
      </c>
      <c r="M349" s="43" t="s">
        <v>2323</v>
      </c>
    </row>
    <row r="350" spans="3:13" x14ac:dyDescent="0.3">
      <c r="C350" s="284"/>
      <c r="D350" s="105" t="s">
        <v>2313</v>
      </c>
      <c r="E350" s="11" t="s">
        <v>2314</v>
      </c>
      <c r="F350" s="120"/>
      <c r="G350" s="27"/>
      <c r="H350" s="210">
        <f>50-50</f>
        <v>0</v>
      </c>
      <c r="I350" s="42"/>
      <c r="M350" s="43" t="s">
        <v>2334</v>
      </c>
    </row>
    <row r="351" spans="3:13" x14ac:dyDescent="0.3">
      <c r="C351" s="284"/>
      <c r="D351" s="105" t="s">
        <v>2313</v>
      </c>
      <c r="E351" s="262" t="s">
        <v>2310</v>
      </c>
      <c r="F351" s="120"/>
      <c r="G351" s="27"/>
      <c r="H351" s="210">
        <f>29-29</f>
        <v>0</v>
      </c>
      <c r="I351" s="42"/>
      <c r="M351" s="43" t="s">
        <v>2340</v>
      </c>
    </row>
    <row r="352" spans="3:13" x14ac:dyDescent="0.3">
      <c r="C352" s="284"/>
      <c r="D352" s="105" t="s">
        <v>2313</v>
      </c>
      <c r="E352" s="262" t="s">
        <v>2170</v>
      </c>
      <c r="F352" s="120"/>
      <c r="G352" s="27"/>
      <c r="H352" s="210">
        <f>50-50</f>
        <v>0</v>
      </c>
      <c r="I352" s="42"/>
      <c r="M352" s="43" t="s">
        <v>2359</v>
      </c>
    </row>
    <row r="353" spans="1:26" x14ac:dyDescent="0.3">
      <c r="C353" s="284"/>
      <c r="D353" s="105" t="s">
        <v>2347</v>
      </c>
      <c r="E353" s="262" t="s">
        <v>2341</v>
      </c>
      <c r="F353" s="120"/>
      <c r="G353" s="27"/>
      <c r="H353" s="210">
        <f>50-50</f>
        <v>0</v>
      </c>
      <c r="I353" s="42"/>
      <c r="M353" s="43" t="s">
        <v>2360</v>
      </c>
    </row>
    <row r="354" spans="1:26" x14ac:dyDescent="0.3">
      <c r="C354" s="284"/>
      <c r="D354" s="105" t="s">
        <v>2347</v>
      </c>
      <c r="E354" s="262" t="s">
        <v>2349</v>
      </c>
      <c r="F354" s="120"/>
      <c r="G354" s="27"/>
      <c r="H354" s="210">
        <v>50</v>
      </c>
      <c r="I354" s="42"/>
      <c r="M354" s="43" t="s">
        <v>2350</v>
      </c>
    </row>
    <row r="355" spans="1:26" x14ac:dyDescent="0.3">
      <c r="C355" s="284"/>
      <c r="D355" s="105"/>
      <c r="E355" s="262"/>
      <c r="F355" s="120"/>
      <c r="G355" s="27"/>
      <c r="H355" s="210"/>
      <c r="I355" s="42"/>
    </row>
    <row r="356" spans="1:26" x14ac:dyDescent="0.3">
      <c r="C356" s="284"/>
      <c r="D356" s="128"/>
      <c r="E356" s="128"/>
      <c r="F356" s="120"/>
      <c r="G356" s="27"/>
      <c r="H356" s="210"/>
      <c r="I356" s="42"/>
    </row>
    <row r="357" spans="1:26" x14ac:dyDescent="0.3">
      <c r="C357" s="29"/>
      <c r="D357" s="128"/>
      <c r="E357" s="128"/>
      <c r="F357" s="120"/>
      <c r="G357" s="52"/>
      <c r="H357" s="210"/>
      <c r="I357" s="42"/>
    </row>
    <row r="358" spans="1:26" s="43" customFormat="1" x14ac:dyDescent="0.3">
      <c r="A358" s="39"/>
      <c r="B358" s="360"/>
      <c r="C358" s="29"/>
      <c r="D358" s="128"/>
      <c r="E358" s="258" t="s">
        <v>1274</v>
      </c>
      <c r="F358" s="13"/>
      <c r="G358" s="15"/>
      <c r="H358" s="13">
        <f>SUM(H325:H356)</f>
        <v>750</v>
      </c>
      <c r="I358" s="75"/>
      <c r="N358" s="18"/>
      <c r="O358" s="15"/>
      <c r="P358" s="16"/>
      <c r="Q358" s="15"/>
      <c r="R358" s="11"/>
      <c r="S358" s="15"/>
      <c r="T358" s="15"/>
      <c r="U358" s="15"/>
      <c r="V358" s="15"/>
      <c r="W358" s="15"/>
      <c r="X358" s="15"/>
      <c r="Y358" s="15"/>
      <c r="Z358" s="15"/>
    </row>
    <row r="359" spans="1:26" s="43" customFormat="1" x14ac:dyDescent="0.3">
      <c r="A359" s="39"/>
      <c r="B359" s="360"/>
      <c r="C359" s="257"/>
      <c r="D359" s="128"/>
      <c r="E359" s="128"/>
      <c r="F359" s="120"/>
      <c r="G359" s="52"/>
      <c r="H359" s="210">
        <f>'ACCOUNTS 23'!I51+H358</f>
        <v>0</v>
      </c>
      <c r="I359" s="42"/>
      <c r="N359" s="18"/>
      <c r="O359" s="15"/>
      <c r="P359" s="16"/>
      <c r="Q359" s="15"/>
      <c r="R359" s="11"/>
      <c r="S359" s="15"/>
      <c r="T359" s="15"/>
      <c r="U359" s="15"/>
      <c r="V359" s="15"/>
      <c r="W359" s="15"/>
      <c r="X359" s="15"/>
      <c r="Y359" s="15"/>
      <c r="Z359" s="15"/>
    </row>
    <row r="360" spans="1:26" s="43" customFormat="1" x14ac:dyDescent="0.3">
      <c r="A360" s="39"/>
      <c r="B360" s="360"/>
      <c r="C360" s="257"/>
      <c r="D360" s="128"/>
      <c r="E360" s="27"/>
      <c r="F360" s="120"/>
      <c r="G360" s="52"/>
      <c r="H360" s="210"/>
      <c r="I360" s="42"/>
      <c r="N360" s="18"/>
      <c r="O360" s="15"/>
      <c r="P360" s="16"/>
      <c r="Q360" s="15"/>
      <c r="R360" s="11"/>
      <c r="S360" s="15"/>
      <c r="T360" s="15"/>
      <c r="U360" s="15"/>
      <c r="V360" s="15"/>
      <c r="W360" s="15"/>
      <c r="X360" s="15"/>
      <c r="Y360" s="15"/>
      <c r="Z360" s="15"/>
    </row>
    <row r="361" spans="1:26" s="43" customFormat="1" x14ac:dyDescent="0.3">
      <c r="A361" s="39"/>
      <c r="B361" s="360"/>
      <c r="C361" s="257"/>
      <c r="D361" s="4"/>
      <c r="E361" s="27"/>
      <c r="F361" s="120"/>
      <c r="G361" s="52"/>
      <c r="H361" s="210"/>
      <c r="I361" s="42"/>
      <c r="N361" s="18"/>
      <c r="O361" s="15"/>
      <c r="P361" s="16"/>
      <c r="Q361" s="15"/>
      <c r="R361" s="11"/>
      <c r="S361" s="15"/>
      <c r="T361" s="15"/>
      <c r="U361" s="15"/>
      <c r="V361" s="15"/>
      <c r="W361" s="15"/>
      <c r="X361" s="15"/>
      <c r="Y361" s="15"/>
      <c r="Z361" s="15"/>
    </row>
    <row r="362" spans="1:26" s="43" customFormat="1" x14ac:dyDescent="0.3">
      <c r="A362" s="39"/>
      <c r="B362" s="360"/>
      <c r="C362" s="59"/>
      <c r="D362" s="15"/>
      <c r="N362" s="18"/>
      <c r="O362" s="15"/>
      <c r="P362" s="16"/>
      <c r="Q362" s="15"/>
      <c r="R362" s="11"/>
      <c r="S362" s="15"/>
      <c r="T362" s="15"/>
      <c r="U362" s="15"/>
      <c r="V362" s="15"/>
      <c r="W362" s="15"/>
      <c r="X362" s="15"/>
      <c r="Y362" s="15"/>
      <c r="Z362" s="15"/>
    </row>
    <row r="363" spans="1:26" s="43" customFormat="1" x14ac:dyDescent="0.3">
      <c r="A363" s="39"/>
      <c r="B363" s="360"/>
      <c r="C363" s="59"/>
      <c r="D363" s="15"/>
      <c r="E363" s="52"/>
      <c r="F363" s="13"/>
      <c r="G363" s="15"/>
      <c r="H363" s="13"/>
      <c r="N363" s="18"/>
      <c r="O363" s="15"/>
      <c r="P363" s="16"/>
      <c r="Q363" s="15"/>
      <c r="R363" s="11"/>
      <c r="S363" s="15"/>
      <c r="T363" s="15"/>
      <c r="U363" s="15"/>
      <c r="V363" s="15"/>
      <c r="W363" s="15"/>
      <c r="X363" s="15"/>
      <c r="Y363" s="15"/>
      <c r="Z363" s="15"/>
    </row>
    <row r="364" spans="1:26" s="43" customFormat="1" x14ac:dyDescent="0.3">
      <c r="A364" s="39"/>
      <c r="B364" s="360"/>
      <c r="C364" s="59"/>
      <c r="D364" s="15"/>
      <c r="E364" s="52"/>
      <c r="F364" s="13"/>
      <c r="G364" s="15"/>
      <c r="H364" s="13"/>
      <c r="N364" s="18"/>
      <c r="O364" s="15"/>
      <c r="P364" s="16"/>
      <c r="Q364" s="15"/>
      <c r="R364" s="11"/>
      <c r="S364" s="15"/>
      <c r="T364" s="15"/>
      <c r="U364" s="15"/>
      <c r="V364" s="15"/>
      <c r="W364" s="15"/>
      <c r="X364" s="15"/>
      <c r="Y364" s="15"/>
      <c r="Z364" s="15"/>
    </row>
    <row r="365" spans="1:26" s="43" customFormat="1" x14ac:dyDescent="0.3">
      <c r="A365" s="39"/>
      <c r="B365" s="360"/>
      <c r="C365" s="214"/>
      <c r="D365" s="214" t="s">
        <v>670</v>
      </c>
      <c r="E365" s="52"/>
      <c r="F365" s="13"/>
      <c r="G365" s="15"/>
      <c r="H365" s="13"/>
      <c r="I365" s="43">
        <f>SUMIF(D40:D45,D365,I40:I45)</f>
        <v>0</v>
      </c>
      <c r="N365" s="18"/>
      <c r="O365" s="15"/>
      <c r="P365" s="16"/>
      <c r="Q365" s="15"/>
      <c r="R365" s="11"/>
      <c r="S365" s="15"/>
      <c r="T365" s="15"/>
      <c r="U365" s="15"/>
      <c r="V365" s="15"/>
      <c r="W365" s="15"/>
      <c r="X365" s="15"/>
      <c r="Y365" s="15"/>
      <c r="Z365" s="15"/>
    </row>
    <row r="366" spans="1:26" s="43" customFormat="1" x14ac:dyDescent="0.3">
      <c r="A366" s="39"/>
      <c r="B366" s="360"/>
      <c r="C366" s="59"/>
      <c r="D366" s="15"/>
      <c r="E366" s="52"/>
      <c r="F366" s="13"/>
      <c r="G366" s="15"/>
      <c r="H366" s="13"/>
      <c r="I366" s="43">
        <f>I365/60</f>
        <v>0</v>
      </c>
      <c r="N366" s="18"/>
      <c r="O366" s="15"/>
      <c r="P366" s="16"/>
      <c r="Q366" s="15"/>
      <c r="R366" s="11"/>
      <c r="S366" s="15"/>
      <c r="T366" s="15"/>
      <c r="U366" s="15"/>
      <c r="V366" s="15"/>
      <c r="W366" s="15"/>
      <c r="X366" s="15"/>
      <c r="Y366" s="15"/>
      <c r="Z366" s="15"/>
    </row>
    <row r="367" spans="1:26" s="43" customFormat="1" x14ac:dyDescent="0.3">
      <c r="A367" s="39"/>
      <c r="B367" s="360"/>
      <c r="C367" s="59"/>
      <c r="D367" s="15"/>
      <c r="E367" s="52"/>
      <c r="F367" s="13"/>
      <c r="G367" s="15"/>
      <c r="H367" s="13"/>
      <c r="N367" s="18"/>
      <c r="O367" s="15"/>
      <c r="P367" s="16"/>
      <c r="Q367" s="15"/>
      <c r="R367" s="11"/>
      <c r="S367" s="15"/>
      <c r="T367" s="15"/>
      <c r="U367" s="15"/>
      <c r="V367" s="15"/>
      <c r="W367" s="15"/>
      <c r="X367" s="15"/>
      <c r="Y367" s="15"/>
      <c r="Z367" s="15"/>
    </row>
    <row r="368" spans="1:26" s="43" customFormat="1" x14ac:dyDescent="0.3">
      <c r="A368" s="39"/>
      <c r="B368" s="360"/>
      <c r="C368" s="59"/>
      <c r="D368" s="15"/>
      <c r="E368" s="52"/>
      <c r="F368" s="13"/>
      <c r="G368" s="15"/>
      <c r="H368" s="13"/>
      <c r="N368" s="18"/>
      <c r="O368" s="15"/>
      <c r="P368" s="16"/>
      <c r="Q368" s="15"/>
      <c r="R368" s="11"/>
      <c r="S368" s="15"/>
      <c r="T368" s="15"/>
      <c r="U368" s="15"/>
      <c r="V368" s="15"/>
      <c r="W368" s="15"/>
      <c r="X368" s="15"/>
      <c r="Y368" s="15"/>
      <c r="Z368" s="15"/>
    </row>
    <row r="369" spans="1:26" s="43" customFormat="1" x14ac:dyDescent="0.3">
      <c r="A369" s="39"/>
      <c r="B369" s="360"/>
      <c r="C369" s="59"/>
      <c r="D369" s="15"/>
      <c r="E369" s="52"/>
      <c r="F369" s="13"/>
      <c r="G369" s="15"/>
      <c r="H369" s="13"/>
      <c r="N369" s="18"/>
      <c r="O369" s="15"/>
      <c r="P369" s="16"/>
      <c r="Q369" s="15"/>
      <c r="R369" s="11"/>
      <c r="S369" s="15"/>
      <c r="T369" s="15"/>
      <c r="U369" s="15"/>
      <c r="V369" s="15"/>
      <c r="W369" s="15"/>
      <c r="X369" s="15"/>
      <c r="Y369" s="15"/>
      <c r="Z369" s="15"/>
    </row>
    <row r="370" spans="1:26" s="43" customFormat="1" x14ac:dyDescent="0.3">
      <c r="A370" s="39"/>
      <c r="B370" s="360"/>
      <c r="C370" s="59"/>
      <c r="D370" s="15"/>
      <c r="E370" s="52"/>
      <c r="F370" s="13"/>
      <c r="G370" s="15"/>
      <c r="H370" s="13"/>
      <c r="N370" s="18"/>
      <c r="O370" s="15"/>
      <c r="P370" s="16"/>
      <c r="Q370" s="15"/>
      <c r="R370" s="11"/>
      <c r="S370" s="15"/>
      <c r="T370" s="15"/>
      <c r="U370" s="15"/>
      <c r="V370" s="15"/>
      <c r="W370" s="15"/>
      <c r="X370" s="15"/>
      <c r="Y370" s="15"/>
      <c r="Z370" s="15"/>
    </row>
    <row r="371" spans="1:26" s="43" customFormat="1" x14ac:dyDescent="0.3">
      <c r="A371" s="39"/>
      <c r="B371" s="360"/>
      <c r="C371" s="59"/>
      <c r="D371" s="15"/>
      <c r="E371" s="52"/>
      <c r="F371" s="13"/>
      <c r="G371" s="15"/>
      <c r="H371" s="13"/>
      <c r="N371" s="18"/>
      <c r="O371" s="15"/>
      <c r="P371" s="16"/>
      <c r="Q371" s="15"/>
      <c r="R371" s="11"/>
      <c r="S371" s="15"/>
      <c r="T371" s="15"/>
      <c r="U371" s="15"/>
      <c r="V371" s="15"/>
      <c r="W371" s="15"/>
      <c r="X371" s="15"/>
      <c r="Y371" s="15"/>
      <c r="Z371" s="15"/>
    </row>
    <row r="372" spans="1:26" s="43" customFormat="1" x14ac:dyDescent="0.3">
      <c r="A372" s="39"/>
      <c r="B372" s="360"/>
      <c r="C372" s="59"/>
      <c r="D372" s="15" t="s">
        <v>2090</v>
      </c>
      <c r="E372" s="52"/>
      <c r="F372" s="13"/>
      <c r="G372" s="15"/>
      <c r="H372" s="13"/>
      <c r="N372" s="18"/>
      <c r="O372" s="15"/>
      <c r="P372" s="16"/>
      <c r="Q372" s="15"/>
      <c r="R372" s="11"/>
      <c r="S372" s="15"/>
      <c r="T372" s="15"/>
      <c r="U372" s="15"/>
      <c r="V372" s="15"/>
      <c r="W372" s="15"/>
      <c r="X372" s="15"/>
      <c r="Y372" s="15"/>
      <c r="Z372" s="15"/>
    </row>
    <row r="373" spans="1:26" s="43" customFormat="1" x14ac:dyDescent="0.3">
      <c r="A373" s="39"/>
      <c r="B373" s="360"/>
      <c r="C373" s="59"/>
      <c r="D373" s="15" t="s">
        <v>1639</v>
      </c>
      <c r="E373" s="52"/>
      <c r="F373" s="13" t="s">
        <v>2091</v>
      </c>
      <c r="G373" s="15"/>
      <c r="H373" s="13"/>
      <c r="N373" s="18"/>
      <c r="O373" s="15"/>
      <c r="P373" s="16"/>
      <c r="Q373" s="15"/>
      <c r="R373" s="11"/>
      <c r="S373" s="15"/>
      <c r="T373" s="15"/>
      <c r="U373" s="15"/>
      <c r="V373" s="15"/>
      <c r="W373" s="15"/>
      <c r="X373" s="15"/>
      <c r="Y373" s="15"/>
      <c r="Z373" s="15"/>
    </row>
    <row r="374" spans="1:26" s="43" customFormat="1" x14ac:dyDescent="0.3">
      <c r="A374" s="39"/>
      <c r="B374" s="360"/>
      <c r="C374" s="59"/>
      <c r="D374" s="15" t="s">
        <v>2066</v>
      </c>
      <c r="E374" s="52" t="e">
        <f>VLOOKUP(D374,#REF!,6,FALSE)</f>
        <v>#REF!</v>
      </c>
      <c r="F374" s="13" t="s">
        <v>2092</v>
      </c>
      <c r="G374" s="15"/>
      <c r="H374" s="13">
        <v>84</v>
      </c>
      <c r="J374" s="43" t="s">
        <v>2110</v>
      </c>
      <c r="K374" s="398">
        <v>44930</v>
      </c>
      <c r="M374" s="43">
        <f>84-92-21</f>
        <v>-29</v>
      </c>
      <c r="N374" s="18"/>
      <c r="O374" s="15"/>
      <c r="P374" s="16"/>
      <c r="Q374" s="15"/>
      <c r="R374" s="11"/>
      <c r="S374" s="15"/>
      <c r="T374" s="15"/>
      <c r="U374" s="15"/>
      <c r="V374" s="15"/>
      <c r="W374" s="15"/>
      <c r="X374" s="15"/>
      <c r="Y374" s="15"/>
      <c r="Z374" s="15"/>
    </row>
    <row r="375" spans="1:26" s="43" customFormat="1" x14ac:dyDescent="0.3">
      <c r="A375" s="39"/>
      <c r="B375" s="360"/>
      <c r="C375" s="59"/>
      <c r="D375" s="15" t="s">
        <v>2093</v>
      </c>
      <c r="E375" s="52" t="e">
        <f>VLOOKUP(D375,D281:M281,6,FALSE)</f>
        <v>#N/A</v>
      </c>
      <c r="F375" s="13" t="s">
        <v>2094</v>
      </c>
      <c r="G375" s="15"/>
      <c r="H375" s="13">
        <v>84</v>
      </c>
      <c r="N375" s="18"/>
      <c r="O375" s="15"/>
      <c r="P375" s="16"/>
      <c r="Q375" s="15"/>
      <c r="R375" s="11"/>
      <c r="S375" s="15"/>
      <c r="T375" s="15"/>
      <c r="U375" s="15"/>
      <c r="V375" s="15"/>
      <c r="W375" s="15"/>
      <c r="X375" s="15"/>
      <c r="Y375" s="15"/>
      <c r="Z375" s="15"/>
    </row>
    <row r="376" spans="1:26" s="43" customFormat="1" x14ac:dyDescent="0.3">
      <c r="A376" s="39"/>
      <c r="B376" s="360"/>
      <c r="C376" s="59"/>
      <c r="D376" s="15" t="s">
        <v>796</v>
      </c>
      <c r="E376" s="52">
        <f>IFERROR(VLOOKUP(D376,D281:M309,6,FALSE),)</f>
        <v>0</v>
      </c>
      <c r="F376" s="13" t="s">
        <v>2097</v>
      </c>
      <c r="G376" s="15"/>
      <c r="H376" s="13">
        <v>84</v>
      </c>
      <c r="N376" s="18"/>
      <c r="O376" s="15"/>
      <c r="P376" s="16"/>
      <c r="Q376" s="15"/>
      <c r="R376" s="11"/>
      <c r="S376" s="15"/>
      <c r="T376" s="15"/>
      <c r="U376" s="15"/>
      <c r="V376" s="15"/>
      <c r="W376" s="15"/>
      <c r="X376" s="15"/>
      <c r="Y376" s="15"/>
      <c r="Z376" s="15"/>
    </row>
    <row r="377" spans="1:26" s="43" customFormat="1" x14ac:dyDescent="0.3">
      <c r="A377" s="39"/>
      <c r="B377" s="360"/>
      <c r="C377" s="59"/>
      <c r="D377" s="15" t="s">
        <v>2098</v>
      </c>
      <c r="E377" s="52">
        <f>IFERROR(VLOOKUP(D377,D281:M310,6,FALSE),)</f>
        <v>0</v>
      </c>
      <c r="F377" s="13" t="s">
        <v>2099</v>
      </c>
      <c r="G377" s="15"/>
      <c r="H377" s="13">
        <v>84</v>
      </c>
      <c r="N377" s="18"/>
      <c r="O377" s="15"/>
      <c r="P377" s="16"/>
      <c r="Q377" s="15"/>
      <c r="R377" s="11"/>
      <c r="S377" s="15"/>
      <c r="T377" s="15"/>
      <c r="U377" s="15"/>
      <c r="V377" s="15"/>
      <c r="W377" s="15"/>
      <c r="X377" s="15"/>
      <c r="Y377" s="15"/>
      <c r="Z377" s="15"/>
    </row>
    <row r="378" spans="1:26" s="13" customFormat="1" x14ac:dyDescent="0.3">
      <c r="A378" s="39"/>
      <c r="B378" s="360"/>
      <c r="C378" s="59"/>
      <c r="D378" s="4" t="s">
        <v>2064</v>
      </c>
      <c r="E378" s="52">
        <f>IFERROR(VLOOKUP(D378,D281:M311,6,FALSE),)</f>
        <v>0</v>
      </c>
      <c r="F378" s="13" t="s">
        <v>2100</v>
      </c>
      <c r="G378" s="15"/>
      <c r="H378" s="13">
        <f>6*21</f>
        <v>126</v>
      </c>
      <c r="I378" s="43"/>
      <c r="J378" s="43"/>
      <c r="K378" s="43"/>
      <c r="L378" s="43"/>
      <c r="M378" s="43"/>
      <c r="N378" s="18"/>
      <c r="O378" s="15"/>
      <c r="P378" s="16"/>
      <c r="Q378" s="15"/>
      <c r="R378" s="11"/>
      <c r="S378" s="15"/>
      <c r="T378" s="15"/>
      <c r="U378" s="15"/>
      <c r="V378" s="15"/>
      <c r="W378" s="15"/>
      <c r="X378" s="15"/>
      <c r="Y378" s="15"/>
      <c r="Z378" s="15"/>
    </row>
    <row r="379" spans="1:26" s="13" customFormat="1" x14ac:dyDescent="0.3">
      <c r="A379" s="39"/>
      <c r="B379" s="360"/>
      <c r="C379" s="59"/>
      <c r="D379" s="15"/>
      <c r="E379" s="52"/>
      <c r="G379" s="15"/>
      <c r="I379" s="43"/>
      <c r="J379" s="43"/>
      <c r="K379" s="43"/>
      <c r="L379" s="43"/>
      <c r="M379" s="43"/>
      <c r="N379" s="18"/>
      <c r="O379" s="15"/>
      <c r="P379" s="16"/>
      <c r="Q379" s="15"/>
      <c r="R379" s="11"/>
      <c r="S379" s="15"/>
      <c r="T379" s="15"/>
      <c r="U379" s="15"/>
      <c r="V379" s="15"/>
      <c r="W379" s="15"/>
      <c r="X379" s="15"/>
      <c r="Y379" s="15"/>
      <c r="Z379" s="15"/>
    </row>
    <row r="380" spans="1:26" s="13" customFormat="1" x14ac:dyDescent="0.3">
      <c r="A380" s="39"/>
      <c r="B380" s="360"/>
      <c r="C380" s="59"/>
      <c r="D380" s="15"/>
      <c r="E380" s="52"/>
      <c r="G380" s="15"/>
      <c r="I380" s="43"/>
      <c r="J380" s="43"/>
      <c r="K380" s="43"/>
      <c r="L380" s="43"/>
      <c r="M380" s="43"/>
      <c r="N380" s="18"/>
      <c r="O380" s="15"/>
      <c r="P380" s="16"/>
      <c r="Q380" s="15"/>
      <c r="R380" s="11"/>
      <c r="S380" s="15"/>
      <c r="T380" s="15"/>
      <c r="U380" s="15"/>
      <c r="V380" s="15"/>
      <c r="W380" s="15"/>
      <c r="X380" s="15"/>
      <c r="Y380" s="15"/>
      <c r="Z380" s="15"/>
    </row>
    <row r="381" spans="1:26" s="13" customFormat="1" x14ac:dyDescent="0.3">
      <c r="A381" s="39"/>
      <c r="B381" s="360"/>
      <c r="C381" s="59"/>
      <c r="D381" s="15"/>
      <c r="E381" s="52"/>
      <c r="G381" s="15"/>
      <c r="I381" s="43"/>
      <c r="J381" s="43"/>
      <c r="K381" s="43"/>
      <c r="L381" s="43"/>
      <c r="M381" s="43"/>
      <c r="N381" s="18"/>
      <c r="O381" s="15"/>
      <c r="P381" s="16"/>
      <c r="Q381" s="15"/>
      <c r="R381" s="11"/>
      <c r="S381" s="15"/>
      <c r="T381" s="15"/>
      <c r="U381" s="15"/>
      <c r="V381" s="15"/>
      <c r="W381" s="15"/>
      <c r="X381" s="15"/>
      <c r="Y381" s="15"/>
      <c r="Z381" s="15"/>
    </row>
    <row r="382" spans="1:26" s="13" customFormat="1" x14ac:dyDescent="0.3">
      <c r="A382" s="39"/>
      <c r="B382" s="360"/>
      <c r="C382" s="59"/>
      <c r="D382" s="15"/>
      <c r="E382" s="52"/>
      <c r="G382" s="15"/>
      <c r="I382" s="43"/>
      <c r="J382" s="43"/>
      <c r="K382" s="43"/>
      <c r="L382" s="43"/>
      <c r="M382" s="43"/>
      <c r="N382" s="18"/>
      <c r="O382" s="15"/>
      <c r="P382" s="16"/>
      <c r="Q382" s="15"/>
      <c r="R382" s="11"/>
      <c r="S382" s="15"/>
      <c r="T382" s="15"/>
      <c r="U382" s="15"/>
      <c r="V382" s="15"/>
      <c r="W382" s="15"/>
      <c r="X382" s="15"/>
      <c r="Y382" s="15"/>
      <c r="Z382" s="15"/>
    </row>
    <row r="383" spans="1:26" s="13" customFormat="1" x14ac:dyDescent="0.3">
      <c r="A383" s="39"/>
      <c r="B383" s="360"/>
      <c r="C383" s="59"/>
      <c r="D383" s="15"/>
      <c r="E383" s="52"/>
      <c r="G383" s="15"/>
      <c r="I383" s="43"/>
      <c r="J383" s="43"/>
      <c r="K383" s="43"/>
      <c r="L383" s="43"/>
      <c r="M383" s="43"/>
      <c r="N383" s="18"/>
      <c r="O383" s="15"/>
      <c r="P383" s="16"/>
      <c r="Q383" s="15"/>
      <c r="R383" s="11"/>
      <c r="S383" s="15"/>
      <c r="T383" s="15"/>
      <c r="U383" s="15"/>
      <c r="V383" s="15"/>
      <c r="W383" s="15"/>
      <c r="X383" s="15"/>
      <c r="Y383" s="15"/>
      <c r="Z383" s="15"/>
    </row>
    <row r="384" spans="1:26" s="13" customFormat="1" x14ac:dyDescent="0.3">
      <c r="A384" s="39"/>
      <c r="B384" s="360"/>
      <c r="C384" s="59"/>
      <c r="D384" s="15"/>
      <c r="E384" s="52"/>
      <c r="G384" s="15"/>
      <c r="I384" s="43"/>
      <c r="J384" s="43"/>
      <c r="K384" s="43"/>
      <c r="L384" s="43"/>
      <c r="M384" s="43"/>
      <c r="N384" s="18"/>
      <c r="O384" s="15"/>
      <c r="P384" s="16"/>
      <c r="Q384" s="15"/>
      <c r="R384" s="11"/>
      <c r="S384" s="15"/>
      <c r="T384" s="15"/>
      <c r="U384" s="15"/>
      <c r="V384" s="15"/>
      <c r="W384" s="15"/>
      <c r="X384" s="15"/>
      <c r="Y384" s="15"/>
      <c r="Z384" s="15"/>
    </row>
    <row r="385" spans="1:26" s="13" customFormat="1" x14ac:dyDescent="0.3">
      <c r="A385" s="39"/>
      <c r="B385" s="360"/>
      <c r="C385" s="59"/>
      <c r="D385" s="15"/>
      <c r="E385" s="52"/>
      <c r="G385" s="15"/>
      <c r="I385" s="43"/>
      <c r="J385" s="43"/>
      <c r="K385" s="43"/>
      <c r="L385" s="43"/>
      <c r="M385" s="43"/>
      <c r="N385" s="18"/>
      <c r="O385" s="15"/>
      <c r="P385" s="16"/>
      <c r="Q385" s="15"/>
      <c r="R385" s="11"/>
      <c r="S385" s="15"/>
      <c r="T385" s="15"/>
      <c r="U385" s="15"/>
      <c r="V385" s="15"/>
      <c r="W385" s="15"/>
      <c r="X385" s="15"/>
      <c r="Y385" s="15"/>
      <c r="Z385" s="15"/>
    </row>
    <row r="386" spans="1:26" s="13" customFormat="1" x14ac:dyDescent="0.3">
      <c r="A386" s="39"/>
      <c r="B386" s="360"/>
      <c r="C386" s="59"/>
      <c r="D386" s="15"/>
      <c r="E386" s="52"/>
      <c r="G386" s="15"/>
      <c r="I386" s="43"/>
      <c r="J386" s="43"/>
      <c r="K386" s="43"/>
      <c r="L386" s="43"/>
      <c r="M386" s="43"/>
      <c r="N386" s="18"/>
      <c r="O386" s="15"/>
      <c r="P386" s="16"/>
      <c r="Q386" s="15"/>
      <c r="R386" s="11"/>
      <c r="S386" s="15"/>
      <c r="T386" s="15"/>
      <c r="U386" s="15"/>
      <c r="V386" s="15"/>
      <c r="W386" s="15"/>
      <c r="X386" s="15"/>
      <c r="Y386" s="15"/>
      <c r="Z386" s="15"/>
    </row>
    <row r="387" spans="1:26" s="13" customFormat="1" x14ac:dyDescent="0.3">
      <c r="A387" s="39"/>
      <c r="B387" s="360"/>
      <c r="C387" s="59"/>
      <c r="D387" s="15"/>
      <c r="E387" s="52"/>
      <c r="G387" s="15"/>
      <c r="I387" s="43"/>
      <c r="J387" s="43"/>
      <c r="K387" s="43"/>
      <c r="L387" s="43"/>
      <c r="M387" s="43"/>
      <c r="N387" s="18"/>
      <c r="O387" s="15"/>
      <c r="P387" s="16"/>
      <c r="Q387" s="15"/>
      <c r="R387" s="11"/>
      <c r="S387" s="15"/>
      <c r="T387" s="15"/>
      <c r="U387" s="15"/>
      <c r="V387" s="15"/>
      <c r="W387" s="15"/>
      <c r="X387" s="15"/>
      <c r="Y387" s="15"/>
      <c r="Z387" s="15"/>
    </row>
    <row r="388" spans="1:26" s="13" customFormat="1" x14ac:dyDescent="0.3">
      <c r="A388" s="39"/>
      <c r="B388" s="360"/>
      <c r="C388" s="59"/>
      <c r="D388" s="15"/>
      <c r="E388" s="52"/>
      <c r="G388" s="15"/>
      <c r="I388" s="43"/>
      <c r="J388" s="43"/>
      <c r="K388" s="43"/>
      <c r="L388" s="43"/>
      <c r="M388" s="43"/>
      <c r="N388" s="18"/>
      <c r="O388" s="15"/>
      <c r="P388" s="16"/>
      <c r="Q388" s="15"/>
      <c r="R388" s="11"/>
      <c r="S388" s="15"/>
      <c r="T388" s="15"/>
      <c r="U388" s="15"/>
      <c r="V388" s="15"/>
      <c r="W388" s="15"/>
      <c r="X388" s="15"/>
      <c r="Y388" s="15"/>
      <c r="Z388" s="15"/>
    </row>
    <row r="389" spans="1:26" s="13" customFormat="1" x14ac:dyDescent="0.3">
      <c r="A389" s="39"/>
      <c r="B389" s="360"/>
      <c r="C389" s="106"/>
      <c r="D389" s="15"/>
      <c r="E389" s="52"/>
      <c r="G389" s="15"/>
      <c r="I389" s="43"/>
      <c r="J389" s="43"/>
      <c r="K389" s="43"/>
      <c r="L389" s="43"/>
      <c r="M389" s="43"/>
      <c r="N389" s="18"/>
      <c r="O389" s="15"/>
      <c r="P389" s="16"/>
      <c r="Q389" s="15"/>
      <c r="R389" s="11"/>
      <c r="S389" s="15"/>
      <c r="T389" s="15"/>
      <c r="U389" s="15"/>
      <c r="V389" s="15"/>
      <c r="W389" s="15"/>
      <c r="X389" s="15"/>
      <c r="Y389" s="15"/>
      <c r="Z389" s="15"/>
    </row>
    <row r="390" spans="1:26" s="13" customFormat="1" x14ac:dyDescent="0.3">
      <c r="A390" s="39"/>
      <c r="B390" s="360"/>
      <c r="C390" s="106"/>
      <c r="D390" s="15"/>
      <c r="E390" s="114"/>
      <c r="G390" s="15"/>
      <c r="I390" s="43"/>
      <c r="J390" s="43"/>
      <c r="K390" s="43"/>
      <c r="L390" s="43"/>
      <c r="M390" s="43"/>
      <c r="N390" s="18"/>
      <c r="O390" s="15"/>
      <c r="P390" s="16"/>
      <c r="Q390" s="15"/>
      <c r="R390" s="11"/>
      <c r="S390" s="15"/>
      <c r="T390" s="15"/>
      <c r="U390" s="15"/>
      <c r="V390" s="15"/>
      <c r="W390" s="15"/>
      <c r="X390" s="15"/>
      <c r="Y390" s="15"/>
      <c r="Z390" s="15"/>
    </row>
    <row r="391" spans="1:26" s="13" customFormat="1" x14ac:dyDescent="0.3">
      <c r="A391" s="39"/>
      <c r="B391" s="360"/>
      <c r="C391" s="106"/>
      <c r="D391" s="15"/>
      <c r="E391" s="114"/>
      <c r="G391" s="15"/>
      <c r="I391" s="43"/>
      <c r="J391" s="43"/>
      <c r="K391" s="43"/>
      <c r="L391" s="43"/>
      <c r="M391" s="43"/>
      <c r="N391" s="18"/>
      <c r="O391" s="15"/>
      <c r="P391" s="16"/>
      <c r="Q391" s="15"/>
      <c r="R391" s="11"/>
      <c r="S391" s="15"/>
      <c r="T391" s="15"/>
      <c r="U391" s="15"/>
      <c r="V391" s="15"/>
      <c r="W391" s="15"/>
      <c r="X391" s="15"/>
      <c r="Y391" s="15"/>
      <c r="Z391" s="15"/>
    </row>
    <row r="392" spans="1:26" s="13" customFormat="1" x14ac:dyDescent="0.3">
      <c r="A392" s="39"/>
      <c r="B392" s="360"/>
      <c r="C392" s="106"/>
      <c r="D392" s="15"/>
      <c r="E392" s="114"/>
      <c r="G392" s="15"/>
      <c r="I392" s="43"/>
      <c r="J392" s="43"/>
      <c r="K392" s="43"/>
      <c r="L392" s="43"/>
      <c r="M392" s="43"/>
      <c r="N392" s="18"/>
      <c r="O392" s="15"/>
      <c r="P392" s="16"/>
      <c r="Q392" s="15"/>
      <c r="R392" s="11"/>
      <c r="S392" s="15"/>
      <c r="T392" s="15"/>
      <c r="U392" s="15"/>
      <c r="V392" s="15"/>
      <c r="W392" s="15"/>
      <c r="X392" s="15"/>
      <c r="Y392" s="15"/>
      <c r="Z392" s="15"/>
    </row>
    <row r="393" spans="1:26" s="13" customFormat="1" x14ac:dyDescent="0.3">
      <c r="A393" s="39"/>
      <c r="B393" s="360"/>
      <c r="C393" s="106"/>
      <c r="D393" s="15"/>
      <c r="E393" s="114"/>
      <c r="G393" s="15"/>
      <c r="I393" s="43"/>
      <c r="J393" s="43"/>
      <c r="K393" s="43"/>
      <c r="L393" s="43"/>
      <c r="M393" s="43"/>
      <c r="N393" s="18"/>
      <c r="O393" s="15"/>
      <c r="P393" s="16"/>
      <c r="Q393" s="15"/>
      <c r="R393" s="11"/>
      <c r="S393" s="15"/>
      <c r="T393" s="15"/>
      <c r="U393" s="15"/>
      <c r="V393" s="15"/>
      <c r="W393" s="15"/>
      <c r="X393" s="15"/>
      <c r="Y393" s="15"/>
      <c r="Z393" s="15"/>
    </row>
    <row r="394" spans="1:26" s="13" customFormat="1" x14ac:dyDescent="0.3">
      <c r="A394" s="39"/>
      <c r="B394" s="360"/>
      <c r="C394" s="106"/>
      <c r="D394" s="15"/>
      <c r="E394" s="114"/>
      <c r="G394" s="15"/>
      <c r="I394" s="43"/>
      <c r="J394" s="43"/>
      <c r="K394" s="43"/>
      <c r="L394" s="43"/>
      <c r="M394" s="43"/>
      <c r="N394" s="18"/>
      <c r="O394" s="15"/>
      <c r="P394" s="16"/>
      <c r="Q394" s="15"/>
      <c r="R394" s="11"/>
      <c r="S394" s="15"/>
      <c r="T394" s="15"/>
      <c r="U394" s="15"/>
      <c r="V394" s="15"/>
      <c r="W394" s="15"/>
      <c r="X394" s="15"/>
      <c r="Y394" s="15"/>
      <c r="Z394" s="15"/>
    </row>
    <row r="395" spans="1:26" s="13" customFormat="1" x14ac:dyDescent="0.3">
      <c r="A395" s="39"/>
      <c r="B395" s="360"/>
      <c r="C395" s="106"/>
      <c r="D395" s="15"/>
      <c r="E395" s="114"/>
      <c r="G395" s="15"/>
      <c r="I395" s="43"/>
      <c r="J395" s="43"/>
      <c r="K395" s="43"/>
      <c r="L395" s="43"/>
      <c r="M395" s="43"/>
      <c r="N395" s="18"/>
      <c r="O395" s="15"/>
      <c r="P395" s="16"/>
      <c r="Q395" s="15"/>
      <c r="R395" s="11"/>
      <c r="S395" s="15"/>
      <c r="T395" s="15"/>
      <c r="U395" s="15"/>
      <c r="V395" s="15"/>
      <c r="W395" s="15"/>
      <c r="X395" s="15"/>
      <c r="Y395" s="15"/>
      <c r="Z395" s="15"/>
    </row>
    <row r="396" spans="1:26" s="13" customFormat="1" x14ac:dyDescent="0.3">
      <c r="A396" s="39"/>
      <c r="B396" s="360"/>
      <c r="C396" s="106"/>
      <c r="D396" s="15"/>
      <c r="E396" s="114"/>
      <c r="G396" s="15"/>
      <c r="I396" s="43"/>
      <c r="J396" s="43"/>
      <c r="K396" s="43"/>
      <c r="L396" s="43"/>
      <c r="M396" s="43"/>
      <c r="N396" s="18"/>
      <c r="O396" s="15"/>
      <c r="P396" s="16"/>
      <c r="Q396" s="15"/>
      <c r="R396" s="11"/>
      <c r="S396" s="15"/>
      <c r="T396" s="15"/>
      <c r="U396" s="15"/>
      <c r="V396" s="15"/>
      <c r="W396" s="15"/>
      <c r="X396" s="15"/>
      <c r="Y396" s="15"/>
      <c r="Z396" s="15"/>
    </row>
    <row r="397" spans="1:26" s="13" customFormat="1" x14ac:dyDescent="0.3">
      <c r="A397" s="39"/>
      <c r="B397" s="360"/>
      <c r="C397" s="106"/>
      <c r="D397" s="15"/>
      <c r="E397" s="114"/>
      <c r="G397" s="15"/>
      <c r="I397" s="43"/>
      <c r="J397" s="43"/>
      <c r="K397" s="43"/>
      <c r="L397" s="43"/>
      <c r="M397" s="43"/>
      <c r="N397" s="18"/>
      <c r="O397" s="15"/>
      <c r="P397" s="16"/>
      <c r="Q397" s="15"/>
      <c r="R397" s="11"/>
      <c r="S397" s="15"/>
      <c r="T397" s="15"/>
      <c r="U397" s="15"/>
      <c r="V397" s="15"/>
      <c r="W397" s="15"/>
      <c r="X397" s="15"/>
      <c r="Y397" s="15"/>
      <c r="Z397" s="15"/>
    </row>
    <row r="398" spans="1:26" s="13" customFormat="1" x14ac:dyDescent="0.3">
      <c r="A398" s="39"/>
      <c r="B398" s="360"/>
      <c r="C398" s="106"/>
      <c r="D398" s="15"/>
      <c r="E398" s="114"/>
      <c r="G398" s="15"/>
      <c r="I398" s="43"/>
      <c r="J398" s="43"/>
      <c r="K398" s="43"/>
      <c r="L398" s="43"/>
      <c r="M398" s="43"/>
      <c r="N398" s="18"/>
      <c r="O398" s="15"/>
      <c r="P398" s="16"/>
      <c r="Q398" s="15"/>
      <c r="R398" s="11"/>
      <c r="S398" s="15"/>
      <c r="T398" s="15"/>
      <c r="U398" s="15"/>
      <c r="V398" s="15"/>
      <c r="W398" s="15"/>
      <c r="X398" s="15"/>
      <c r="Y398" s="15"/>
      <c r="Z398" s="15"/>
    </row>
    <row r="399" spans="1:26" s="13" customFormat="1" x14ac:dyDescent="0.3">
      <c r="A399" s="39"/>
      <c r="B399" s="360"/>
      <c r="C399" s="106"/>
      <c r="D399" s="15"/>
      <c r="E399" s="114"/>
      <c r="G399" s="15"/>
      <c r="I399" s="43"/>
      <c r="J399" s="43"/>
      <c r="K399" s="43"/>
      <c r="L399" s="43"/>
      <c r="M399" s="43"/>
      <c r="N399" s="18"/>
      <c r="O399" s="15"/>
      <c r="P399" s="16"/>
      <c r="Q399" s="15"/>
      <c r="R399" s="11"/>
      <c r="S399" s="15"/>
      <c r="T399" s="15"/>
      <c r="U399" s="15"/>
      <c r="V399" s="15"/>
      <c r="W399" s="15"/>
      <c r="X399" s="15"/>
      <c r="Y399" s="15"/>
      <c r="Z399" s="15"/>
    </row>
  </sheetData>
  <autoFilter ref="A39:Y319" xr:uid="{00000000-0001-0000-0200-000000000000}"/>
  <phoneticPr fontId="56" type="noConversion"/>
  <pageMargins left="0.31496062992125984" right="0.31496062992125984" top="0.74803149606299213" bottom="0.74803149606299213" header="0.31496062992125984" footer="0.31496062992125984"/>
  <pageSetup paperSize="9" scale="5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CFCF-C59F-4A1F-9ECE-33B648DFD79B}">
  <sheetPr>
    <pageSetUpPr fitToPage="1"/>
  </sheetPr>
  <dimension ref="A1:T56"/>
  <sheetViews>
    <sheetView workbookViewId="0">
      <pane xSplit="2" ySplit="1" topLeftCell="C7" activePane="bottomRight" state="frozen"/>
      <selection activeCell="M382" sqref="M382:Q383"/>
      <selection pane="topRight" activeCell="M382" sqref="M382:Q383"/>
      <selection pane="bottomLeft" activeCell="M382" sqref="M382:Q383"/>
      <selection pane="bottomRight" activeCell="O40" sqref="O40"/>
    </sheetView>
  </sheetViews>
  <sheetFormatPr defaultColWidth="8.7265625" defaultRowHeight="13" x14ac:dyDescent="0.35"/>
  <cols>
    <col min="1" max="1" width="30.453125" style="9" bestFit="1" customWidth="1"/>
    <col min="2" max="2" width="9.453125" style="9" customWidth="1"/>
    <col min="3" max="4" width="11.1796875" style="9" bestFit="1" customWidth="1"/>
    <col min="5" max="6" width="10.81640625" style="9" bestFit="1" customWidth="1"/>
    <col min="7" max="7" width="11.1796875" style="9" bestFit="1" customWidth="1"/>
    <col min="8" max="8" width="11.453125" style="9" bestFit="1" customWidth="1"/>
    <col min="9" max="10" width="11.1796875" style="9" bestFit="1" customWidth="1"/>
    <col min="11" max="11" width="10.36328125" style="9" bestFit="1" customWidth="1"/>
    <col min="12" max="12" width="10.54296875" style="9" bestFit="1" customWidth="1"/>
    <col min="13" max="13" width="10.36328125" style="9" bestFit="1" customWidth="1"/>
    <col min="14" max="15" width="10.54296875" style="9" bestFit="1" customWidth="1"/>
    <col min="16" max="16" width="11.453125" style="9" bestFit="1" customWidth="1"/>
    <col min="17" max="17" width="11.08984375" style="14" bestFit="1" customWidth="1"/>
    <col min="18" max="16384" width="8.7265625" style="9"/>
  </cols>
  <sheetData>
    <row r="1" spans="1:20" s="10" customFormat="1" x14ac:dyDescent="0.35">
      <c r="C1" s="66" t="s">
        <v>24</v>
      </c>
      <c r="D1" s="66" t="s">
        <v>25</v>
      </c>
      <c r="E1" s="66" t="s">
        <v>26</v>
      </c>
      <c r="F1" s="66" t="s">
        <v>27</v>
      </c>
      <c r="G1" s="66" t="s">
        <v>516</v>
      </c>
      <c r="H1" s="66" t="s">
        <v>28</v>
      </c>
      <c r="I1" s="66" t="s">
        <v>520</v>
      </c>
      <c r="J1" s="66" t="s">
        <v>521</v>
      </c>
      <c r="K1" s="66" t="s">
        <v>29</v>
      </c>
      <c r="L1" s="66" t="s">
        <v>30</v>
      </c>
      <c r="M1" s="66" t="s">
        <v>31</v>
      </c>
      <c r="N1" s="66" t="s">
        <v>32</v>
      </c>
      <c r="O1" s="66" t="s">
        <v>33</v>
      </c>
      <c r="P1" s="66" t="s">
        <v>34</v>
      </c>
      <c r="Q1" s="67" t="s">
        <v>35</v>
      </c>
    </row>
    <row r="2" spans="1:20" x14ac:dyDescent="0.3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/>
    </row>
    <row r="3" spans="1:20" x14ac:dyDescent="0.35">
      <c r="A3" s="9" t="s">
        <v>36</v>
      </c>
      <c r="C3" s="68"/>
      <c r="D3" s="71">
        <f>SUMIFS('CASH BOOK 2023'!$L:$L,'CASH BOOK 2023'!$C:$C,'CASHFLOW 2023'!D$1,'CASH BOOK 2023'!$E:$E,'CASHFLOW 2023'!$A3)</f>
        <v>6257.0599999999995</v>
      </c>
      <c r="E3" s="71">
        <f>SUMIFS('CASH BOOK 2023'!$L:$L,'CASH BOOK 2023'!$C:$C,'CASHFLOW 2023'!E$1,'CASH BOOK 2023'!$E:$E,'CASHFLOW 2023'!$A3)</f>
        <v>1006.14</v>
      </c>
      <c r="F3" s="71">
        <f>SUMIFS('CASH BOOK 2023'!$L:$L,'CASH BOOK 2023'!$C:$C,'CASHFLOW 2023'!F$1,'CASH BOOK 2023'!$E:$E,'CASHFLOW 2023'!$A3)</f>
        <v>4340.2</v>
      </c>
      <c r="G3" s="71">
        <f>SUMIFS('CASH BOOK 2023'!$L:$L,'CASH BOOK 2023'!$C:$C,'CASHFLOW 2023'!G$1,'CASH BOOK 2023'!$E:$E,'CASHFLOW 2023'!$A3)</f>
        <v>3936.6000000000004</v>
      </c>
      <c r="H3" s="71">
        <f>SUMIFS('CASH BOOK 2023'!$L:$L,'CASH BOOK 2023'!$C:$C,'CASHFLOW 2023'!H$1,'CASH BOOK 2023'!$E:$E,'CASHFLOW 2023'!$A3)</f>
        <v>569.47</v>
      </c>
      <c r="I3" s="71">
        <f>SUMIFS('CASH BOOK 2023'!$L:$L,'CASH BOOK 2023'!$C:$C,'CASHFLOW 2023'!I$1,'CASH BOOK 2023'!$E:$E,'CASHFLOW 2023'!$A3)</f>
        <v>412.10999999999996</v>
      </c>
      <c r="J3" s="71">
        <f>SUMIFS('CASH BOOK 2023'!$L:$L,'CASH BOOK 2023'!$C:$C,'CASHFLOW 2023'!J$1,'CASH BOOK 2023'!$E:$E,'CASHFLOW 2023'!$A3)</f>
        <v>120.13</v>
      </c>
      <c r="K3" s="71">
        <f>SUMIFS('CASH BOOK 2023'!$L:$L,'CASH BOOK 2023'!$C:$C,'CASHFLOW 2023'!K$1,'CASH BOOK 2023'!$E:$E,'CASHFLOW 2023'!$A3)</f>
        <v>65.33</v>
      </c>
      <c r="L3" s="71">
        <f>SUMIFS('CASH BOOK 2023'!$L:$L,'CASH BOOK 2023'!$C:$C,'CASHFLOW 2023'!L$1,'CASH BOOK 2023'!$E:$E,'CASHFLOW 2023'!$A3)</f>
        <v>0</v>
      </c>
      <c r="M3" s="71">
        <f>SUMIFS('CASH BOOK 2023'!$L:$L,'CASH BOOK 2023'!$C:$C,'CASHFLOW 2023'!M$1,'CASH BOOK 2023'!$E:$E,'CASHFLOW 2023'!$A3)</f>
        <v>0</v>
      </c>
      <c r="N3" s="71">
        <f>SUMIFS('CASH BOOK 2023'!$L:$L,'CASH BOOK 2023'!$C:$C,'CASHFLOW 2023'!N$1,'CASH BOOK 2023'!$E:$E,'CASHFLOW 2023'!$A3)</f>
        <v>0</v>
      </c>
      <c r="O3" s="71">
        <f>SUMIFS('CASH BOOK 2023'!$L:$L,'CASH BOOK 2023'!$C:$C,'CASHFLOW 2023'!O$1,'CASH BOOK 2023'!$E:$E,'CASHFLOW 2023'!$A3)</f>
        <v>0</v>
      </c>
      <c r="P3" s="92">
        <f t="shared" ref="P3:P9" si="0">SUM(D3:O3)</f>
        <v>16707.04</v>
      </c>
      <c r="Q3" s="70">
        <v>12790</v>
      </c>
    </row>
    <row r="4" spans="1:20" ht="15.5" x14ac:dyDescent="0.35">
      <c r="A4" s="9" t="s">
        <v>37</v>
      </c>
      <c r="C4" s="68"/>
      <c r="D4" s="71">
        <f>SUMIFS('CASH BOOK 2023'!$L:$L,'CASH BOOK 2023'!$C:$C,'CASHFLOW 2023'!D$1,'CASH BOOK 2023'!$E:$E,'CASHFLOW 2023'!$A4)</f>
        <v>532.5</v>
      </c>
      <c r="E4" s="71">
        <f>SUMIFS('CASH BOOK 2023'!$L:$L,'CASH BOOK 2023'!$C:$C,'CASHFLOW 2023'!E$1,'CASH BOOK 2023'!$E:$E,'CASHFLOW 2023'!$A4)</f>
        <v>399</v>
      </c>
      <c r="F4" s="71">
        <f>SUMIFS('CASH BOOK 2023'!$L:$L,'CASH BOOK 2023'!$C:$C,'CASHFLOW 2023'!F$1,'CASH BOOK 2023'!$E:$E,'CASHFLOW 2023'!$A4)</f>
        <v>332</v>
      </c>
      <c r="G4" s="71">
        <f>SUMIFS('CASH BOOK 2023'!$L:$L,'CASH BOOK 2023'!$C:$C,'CASHFLOW 2023'!G$1,'CASH BOOK 2023'!$E:$E,'CASHFLOW 2023'!$A4)</f>
        <v>590</v>
      </c>
      <c r="H4" s="71">
        <f>SUMIFS('CASH BOOK 2023'!$L:$L,'CASH BOOK 2023'!$C:$C,'CASHFLOW 2023'!H$1,'CASH BOOK 2023'!$E:$E,'CASHFLOW 2023'!$A4)</f>
        <v>431</v>
      </c>
      <c r="I4" s="71">
        <f>SUMIFS('CASH BOOK 2023'!$L:$L,'CASH BOOK 2023'!$C:$C,'CASHFLOW 2023'!I$1,'CASH BOOK 2023'!$E:$E,'CASHFLOW 2023'!$A4)</f>
        <v>427</v>
      </c>
      <c r="J4" s="71">
        <f>SUMIFS('CASH BOOK 2023'!$L:$L,'CASH BOOK 2023'!$C:$C,'CASHFLOW 2023'!J$1,'CASH BOOK 2023'!$E:$E,'CASHFLOW 2023'!$A4)</f>
        <v>230</v>
      </c>
      <c r="K4" s="71">
        <f>SUMIFS('CASH BOOK 2023'!$L:$L,'CASH BOOK 2023'!$C:$C,'CASHFLOW 2023'!K$1,'CASH BOOK 2023'!$E:$E,'CASHFLOW 2023'!$A4)</f>
        <v>286</v>
      </c>
      <c r="L4" s="71">
        <f>SUMIFS('CASH BOOK 2023'!$L:$L,'CASH BOOK 2023'!$C:$C,'CASHFLOW 2023'!L$1,'CASH BOOK 2023'!$E:$E,'CASHFLOW 2023'!$A4)</f>
        <v>0</v>
      </c>
      <c r="M4" s="71">
        <f>SUMIFS('CASH BOOK 2023'!$L:$L,'CASH BOOK 2023'!$C:$C,'CASHFLOW 2023'!M$1,'CASH BOOK 2023'!$E:$E,'CASHFLOW 2023'!$A4)</f>
        <v>0</v>
      </c>
      <c r="N4" s="71">
        <f>SUMIFS('CASH BOOK 2023'!$L:$L,'CASH BOOK 2023'!$C:$C,'CASHFLOW 2023'!N$1,'CASH BOOK 2023'!$E:$E,'CASHFLOW 2023'!$A4)</f>
        <v>0</v>
      </c>
      <c r="O4" s="71">
        <f>SUMIFS('CASH BOOK 2023'!$L:$L,'CASH BOOK 2023'!$C:$C,'CASHFLOW 2023'!O$1,'CASH BOOK 2023'!$E:$E,'CASHFLOW 2023'!$A4)</f>
        <v>0</v>
      </c>
      <c r="P4" s="69">
        <f t="shared" si="0"/>
        <v>3227.5</v>
      </c>
      <c r="Q4" s="70">
        <v>900</v>
      </c>
      <c r="T4" s="247"/>
    </row>
    <row r="5" spans="1:20" ht="15.5" x14ac:dyDescent="0.35">
      <c r="A5" s="9" t="s">
        <v>622</v>
      </c>
      <c r="C5" s="68"/>
      <c r="D5" s="71">
        <f>SUMIFS('CASH BOOK 2023'!$L:$L,'CASH BOOK 2023'!$C:$C,'CASHFLOW 2023'!D$1,'CASH BOOK 2023'!$E:$E,'CASHFLOW 2023'!$A5)</f>
        <v>55</v>
      </c>
      <c r="E5" s="71">
        <f>SUMIFS('CASH BOOK 2023'!$L:$L,'CASH BOOK 2023'!$C:$C,'CASHFLOW 2023'!E$1,'CASH BOOK 2023'!$E:$E,'CASHFLOW 2023'!$A5)</f>
        <v>0</v>
      </c>
      <c r="F5" s="71">
        <f>SUMIFS('CASH BOOK 2023'!$L:$L,'CASH BOOK 2023'!$C:$C,'CASHFLOW 2023'!F$1,'CASH BOOK 2023'!$E:$E,'CASHFLOW 2023'!$A5)</f>
        <v>0</v>
      </c>
      <c r="G5" s="71">
        <f>SUMIFS('CASH BOOK 2023'!$L:$L,'CASH BOOK 2023'!$C:$C,'CASHFLOW 2023'!G$1,'CASH BOOK 2023'!$E:$E,'CASHFLOW 2023'!$A5)</f>
        <v>0</v>
      </c>
      <c r="H5" s="71">
        <f>SUMIFS('CASH BOOK 2023'!$L:$L,'CASH BOOK 2023'!$C:$C,'CASHFLOW 2023'!H$1,'CASH BOOK 2023'!$E:$E,'CASHFLOW 2023'!$A5)</f>
        <v>0</v>
      </c>
      <c r="I5" s="71">
        <f>SUMIFS('CASH BOOK 2023'!$L:$L,'CASH BOOK 2023'!$C:$C,'CASHFLOW 2023'!I$1,'CASH BOOK 2023'!$E:$E,'CASHFLOW 2023'!$A5)</f>
        <v>0</v>
      </c>
      <c r="J5" s="71">
        <f>SUMIFS('CASH BOOK 2023'!$L:$L,'CASH BOOK 2023'!$C:$C,'CASHFLOW 2023'!J$1,'CASH BOOK 2023'!$E:$E,'CASHFLOW 2023'!$A5)</f>
        <v>45</v>
      </c>
      <c r="K5" s="71">
        <f>SUMIFS('CASH BOOK 2023'!$L:$L,'CASH BOOK 2023'!$C:$C,'CASHFLOW 2023'!K$1,'CASH BOOK 2023'!$E:$E,'CASHFLOW 2023'!$A5)</f>
        <v>0</v>
      </c>
      <c r="L5" s="71">
        <f>SUMIFS('CASH BOOK 2023'!$L:$L,'CASH BOOK 2023'!$C:$C,'CASHFLOW 2023'!L$1,'CASH BOOK 2023'!$E:$E,'CASHFLOW 2023'!$A5)</f>
        <v>0</v>
      </c>
      <c r="M5" s="71">
        <f>SUMIFS('CASH BOOK 2023'!$L:$L,'CASH BOOK 2023'!$C:$C,'CASHFLOW 2023'!M$1,'CASH BOOK 2023'!$E:$E,'CASHFLOW 2023'!$A5)</f>
        <v>0</v>
      </c>
      <c r="N5" s="71">
        <f>SUMIFS('CASH BOOK 2023'!$L:$L,'CASH BOOK 2023'!$C:$C,'CASHFLOW 2023'!N$1,'CASH BOOK 2023'!$E:$E,'CASHFLOW 2023'!$A5)</f>
        <v>0</v>
      </c>
      <c r="O5" s="71">
        <f>SUMIFS('CASH BOOK 2023'!$L:$L,'CASH BOOK 2023'!$C:$C,'CASHFLOW 2023'!O$1,'CASH BOOK 2023'!$E:$E,'CASHFLOW 2023'!$A5)</f>
        <v>0</v>
      </c>
      <c r="P5" s="69">
        <f t="shared" si="0"/>
        <v>100</v>
      </c>
      <c r="Q5" s="70">
        <v>100</v>
      </c>
      <c r="T5" s="247"/>
    </row>
    <row r="6" spans="1:20" ht="15.5" x14ac:dyDescent="0.35">
      <c r="A6" s="7" t="s">
        <v>317</v>
      </c>
      <c r="C6" s="68"/>
      <c r="D6" s="71">
        <f>SUMIFS('CASH BOOK 2023'!$L:$L,'CASH BOOK 2023'!$C:$C,'CASHFLOW 2023'!D$1,'CASH BOOK 2023'!$E:$E,'CASHFLOW 2023'!$A6)</f>
        <v>0</v>
      </c>
      <c r="E6" s="71">
        <f>SUMIFS('CASH BOOK 2023'!$L:$L,'CASH BOOK 2023'!$C:$C,'CASHFLOW 2023'!E$1,'CASH BOOK 2023'!$E:$E,'CASHFLOW 2023'!$A6)</f>
        <v>0</v>
      </c>
      <c r="F6" s="71">
        <f>SUMIFS('CASH BOOK 2023'!$L:$L,'CASH BOOK 2023'!$C:$C,'CASHFLOW 2023'!F$1,'CASH BOOK 2023'!$E:$E,'CASHFLOW 2023'!$A6)</f>
        <v>0</v>
      </c>
      <c r="G6" s="71">
        <f>SUMIFS('CASH BOOK 2023'!$L:$L,'CASH BOOK 2023'!$C:$C,'CASHFLOW 2023'!G$1,'CASH BOOK 2023'!$E:$E,'CASHFLOW 2023'!$A6)</f>
        <v>0</v>
      </c>
      <c r="H6" s="71">
        <f>SUMIFS('CASH BOOK 2023'!$L:$L,'CASH BOOK 2023'!$C:$C,'CASHFLOW 2023'!H$1,'CASH BOOK 2023'!$E:$E,'CASHFLOW 2023'!$A6)</f>
        <v>0</v>
      </c>
      <c r="I6" s="71">
        <f>SUMIFS('CASH BOOK 2023'!$L:$L,'CASH BOOK 2023'!$C:$C,'CASHFLOW 2023'!I$1,'CASH BOOK 2023'!$E:$E,'CASHFLOW 2023'!$A6)</f>
        <v>0</v>
      </c>
      <c r="J6" s="71">
        <f>SUMIFS('CASH BOOK 2023'!$L:$L,'CASH BOOK 2023'!$C:$C,'CASHFLOW 2023'!J$1,'CASH BOOK 2023'!$E:$E,'CASHFLOW 2023'!$A6)</f>
        <v>0</v>
      </c>
      <c r="K6" s="71">
        <f>SUMIFS('CASH BOOK 2023'!$L:$L,'CASH BOOK 2023'!$C:$C,'CASHFLOW 2023'!K$1,'CASH BOOK 2023'!$E:$E,'CASHFLOW 2023'!$A6)</f>
        <v>0</v>
      </c>
      <c r="L6" s="71">
        <f>SUMIFS('CASH BOOK 2023'!$L:$L,'CASH BOOK 2023'!$C:$C,'CASHFLOW 2023'!L$1,'CASH BOOK 2023'!$E:$E,'CASHFLOW 2023'!$A6)</f>
        <v>0</v>
      </c>
      <c r="M6" s="71">
        <f>SUMIFS('CASH BOOK 2023'!$L:$L,'CASH BOOK 2023'!$C:$C,'CASHFLOW 2023'!M$1,'CASH BOOK 2023'!$E:$E,'CASHFLOW 2023'!$A6)</f>
        <v>0</v>
      </c>
      <c r="N6" s="71">
        <f>SUMIFS('CASH BOOK 2023'!$L:$L,'CASH BOOK 2023'!$C:$C,'CASHFLOW 2023'!N$1,'CASH BOOK 2023'!$E:$E,'CASHFLOW 2023'!$A6)</f>
        <v>0</v>
      </c>
      <c r="O6" s="71">
        <f>SUMIFS('CASH BOOK 2023'!$L:$L,'CASH BOOK 2023'!$C:$C,'CASHFLOW 2023'!O$1,'CASH BOOK 2023'!$E:$E,'CASHFLOW 2023'!$A6)</f>
        <v>0</v>
      </c>
      <c r="P6" s="69">
        <f t="shared" si="0"/>
        <v>0</v>
      </c>
      <c r="Q6" s="70"/>
      <c r="T6" s="247"/>
    </row>
    <row r="7" spans="1:20" ht="15.5" x14ac:dyDescent="0.35">
      <c r="A7" s="7" t="s">
        <v>1405</v>
      </c>
      <c r="C7" s="68"/>
      <c r="D7" s="71">
        <f>SUMIFS('CASH BOOK 2023'!$L:$L,'CASH BOOK 2023'!$C:$C,'CASHFLOW 2023'!D$1,'CASH BOOK 2023'!$E:$E,'CASHFLOW 2023'!$A7)</f>
        <v>0</v>
      </c>
      <c r="E7" s="71">
        <f>SUMIFS('CASH BOOK 2023'!$L:$L,'CASH BOOK 2023'!$C:$C,'CASHFLOW 2023'!E$1,'CASH BOOK 2023'!$E:$E,'CASHFLOW 2023'!$A7)</f>
        <v>0</v>
      </c>
      <c r="F7" s="71">
        <f>SUMIFS('CASH BOOK 2023'!$L:$L,'CASH BOOK 2023'!$C:$C,'CASHFLOW 2023'!F$1,'CASH BOOK 2023'!$E:$E,'CASHFLOW 2023'!$A7)</f>
        <v>0</v>
      </c>
      <c r="G7" s="71">
        <f>SUMIFS('CASH BOOK 2023'!$L:$L,'CASH BOOK 2023'!$C:$C,'CASHFLOW 2023'!G$1,'CASH BOOK 2023'!$E:$E,'CASHFLOW 2023'!$A7)</f>
        <v>0</v>
      </c>
      <c r="H7" s="71">
        <f>SUMIFS('CASH BOOK 2023'!$L:$L,'CASH BOOK 2023'!$C:$C,'CASHFLOW 2023'!H$1,'CASH BOOK 2023'!$E:$E,'CASHFLOW 2023'!$A7)</f>
        <v>0</v>
      </c>
      <c r="I7" s="71">
        <f>SUMIFS('CASH BOOK 2023'!$L:$L,'CASH BOOK 2023'!$C:$C,'CASHFLOW 2023'!I$1,'CASH BOOK 2023'!$E:$E,'CASHFLOW 2023'!$A7)</f>
        <v>0</v>
      </c>
      <c r="J7" s="71">
        <f>SUMIFS('CASH BOOK 2023'!$L:$L,'CASH BOOK 2023'!$C:$C,'CASHFLOW 2023'!J$1,'CASH BOOK 2023'!$E:$E,'CASHFLOW 2023'!$A7)</f>
        <v>0</v>
      </c>
      <c r="K7" s="71">
        <f>SUMIFS('CASH BOOK 2023'!$L:$L,'CASH BOOK 2023'!$C:$C,'CASHFLOW 2023'!K$1,'CASH BOOK 2023'!$E:$E,'CASHFLOW 2023'!$A7)</f>
        <v>0</v>
      </c>
      <c r="L7" s="71">
        <f>SUMIFS('CASH BOOK 2023'!$L:$L,'CASH BOOK 2023'!$C:$C,'CASHFLOW 2023'!L$1,'CASH BOOK 2023'!$E:$E,'CASHFLOW 2023'!$A7)</f>
        <v>0</v>
      </c>
      <c r="M7" s="71">
        <f>SUMIFS('CASH BOOK 2023'!$L:$L,'CASH BOOK 2023'!$C:$C,'CASHFLOW 2023'!M$1,'CASH BOOK 2023'!$E:$E,'CASHFLOW 2023'!$A7)</f>
        <v>0</v>
      </c>
      <c r="N7" s="71">
        <f>SUMIFS('CASH BOOK 2023'!$L:$L,'CASH BOOK 2023'!$C:$C,'CASHFLOW 2023'!N$1,'CASH BOOK 2023'!$E:$E,'CASHFLOW 2023'!$A7)</f>
        <v>0</v>
      </c>
      <c r="O7" s="71">
        <f>SUMIFS('CASH BOOK 2023'!$L:$L,'CASH BOOK 2023'!$C:$C,'CASHFLOW 2023'!O$1,'CASH BOOK 2023'!$E:$E,'CASHFLOW 2023'!$A7)</f>
        <v>0</v>
      </c>
      <c r="P7" s="69">
        <f t="shared" si="0"/>
        <v>0</v>
      </c>
      <c r="Q7" s="70"/>
      <c r="T7" s="247"/>
    </row>
    <row r="8" spans="1:20" ht="15.5" x14ac:dyDescent="0.35">
      <c r="A8" s="9" t="s">
        <v>4</v>
      </c>
      <c r="C8" s="68"/>
      <c r="D8" s="71">
        <f>SUMIFS('CASH BOOK 2023'!$L:$L,'CASH BOOK 2023'!$C:$C,'CASHFLOW 2023'!D$1,'CASH BOOK 2023'!$E:$E,'CASHFLOW 2023'!$A8)</f>
        <v>0</v>
      </c>
      <c r="E8" s="71">
        <f>SUMIFS('CASH BOOK 2023'!$L:$L,'CASH BOOK 2023'!$C:$C,'CASHFLOW 2023'!E$1,'CASH BOOK 2023'!$E:$E,'CASHFLOW 2023'!$A8)</f>
        <v>0</v>
      </c>
      <c r="F8" s="71">
        <f>SUMIFS('CASH BOOK 2023'!$L:$L,'CASH BOOK 2023'!$C:$C,'CASHFLOW 2023'!F$1,'CASH BOOK 2023'!$E:$E,'CASHFLOW 2023'!$A8)</f>
        <v>0</v>
      </c>
      <c r="G8" s="71"/>
      <c r="H8" s="71">
        <f>SUMIFS('CASH BOOK 2023'!$L:$L,'CASH BOOK 2023'!$C:$C,'CASHFLOW 2023'!H$1,'CASH BOOK 2023'!$E:$E,'CASHFLOW 2023'!$A8)</f>
        <v>0</v>
      </c>
      <c r="I8" s="71">
        <f>SUMIFS('CASH BOOK 2023'!$L:$L,'CASH BOOK 2023'!$C:$C,'CASHFLOW 2023'!I$1,'CASH BOOK 2023'!$E:$E,'CASHFLOW 2023'!$A8)</f>
        <v>0</v>
      </c>
      <c r="J8" s="71">
        <f>SUMIFS('CASH BOOK 2023'!$L:$L,'CASH BOOK 2023'!$C:$C,'CASHFLOW 2023'!J$1,'CASH BOOK 2023'!$E:$E,'CASHFLOW 2023'!$A8)</f>
        <v>0</v>
      </c>
      <c r="K8" s="71">
        <f>SUMIFS('CASH BOOK 2023'!$L:$L,'CASH BOOK 2023'!$C:$C,'CASHFLOW 2023'!K$1,'CASH BOOK 2023'!$E:$E,'CASHFLOW 2023'!$A8)</f>
        <v>0</v>
      </c>
      <c r="L8" s="71">
        <f>SUMIFS('CASH BOOK 2023'!$L:$L,'CASH BOOK 2023'!$C:$C,'CASHFLOW 2023'!L$1,'CASH BOOK 2023'!$E:$E,'CASHFLOW 2023'!$A8)</f>
        <v>0</v>
      </c>
      <c r="M8" s="71">
        <f>SUMIFS('CASH BOOK 2023'!$L:$L,'CASH BOOK 2023'!$C:$C,'CASHFLOW 2023'!M$1,'CASH BOOK 2023'!$E:$E,'CASHFLOW 2023'!$A8)</f>
        <v>0</v>
      </c>
      <c r="N8" s="71">
        <f>SUMIFS('CASH BOOK 2023'!$L:$L,'CASH BOOK 2023'!$C:$C,'CASHFLOW 2023'!N$1,'CASH BOOK 2023'!$E:$E,'CASHFLOW 2023'!$A8)</f>
        <v>0</v>
      </c>
      <c r="O8" s="71">
        <f>SUMIFS('CASH BOOK 2023'!$L:$L,'CASH BOOK 2023'!$C:$C,'CASHFLOW 2023'!O$1,'CASH BOOK 2023'!$E:$E,'CASHFLOW 2023'!$A8)</f>
        <v>0</v>
      </c>
      <c r="P8" s="92">
        <f t="shared" si="0"/>
        <v>0</v>
      </c>
      <c r="Q8" s="70">
        <v>150</v>
      </c>
      <c r="T8" s="247"/>
    </row>
    <row r="9" spans="1:20" ht="15.5" x14ac:dyDescent="0.35">
      <c r="A9" s="9" t="s">
        <v>38</v>
      </c>
      <c r="C9" s="68"/>
      <c r="D9" s="71">
        <f>SUMIFS('CASH BOOK 2023'!$L:$L,'CASH BOOK 2023'!$C:$C,'CASHFLOW 2023'!D$1,'CASH BOOK 2023'!$E:$E,'CASHFLOW 2023'!$A9)</f>
        <v>0</v>
      </c>
      <c r="E9" s="71">
        <f>SUMIFS('CASH BOOK 2023'!$L:$L,'CASH BOOK 2023'!$C:$C,'CASHFLOW 2023'!E$1,'CASH BOOK 2023'!$E:$E,'CASHFLOW 2023'!$A9)</f>
        <v>0</v>
      </c>
      <c r="F9" s="71">
        <f>SUMIFS('CASH BOOK 2023'!$L:$L,'CASH BOOK 2023'!$C:$C,'CASHFLOW 2023'!F$1,'CASH BOOK 2023'!$E:$E,'CASHFLOW 2023'!$A9)</f>
        <v>0</v>
      </c>
      <c r="G9" s="71">
        <f>SUMIFS('CASH BOOK 2023'!$L:$L,'CASH BOOK 2023'!$C:$C,'CASHFLOW 2023'!G$1,'CASH BOOK 2023'!$E:$E,'CASHFLOW 2023'!$A9)</f>
        <v>0</v>
      </c>
      <c r="H9" s="71">
        <f>SUMIFS('CASH BOOK 2023'!$L:$L,'CASH BOOK 2023'!$C:$C,'CASHFLOW 2023'!H$1,'CASH BOOK 2023'!$E:$E,'CASHFLOW 2023'!$A9)</f>
        <v>0</v>
      </c>
      <c r="I9" s="71">
        <f>SUMIFS('CASH BOOK 2023'!$L:$L,'CASH BOOK 2023'!$C:$C,'CASHFLOW 2023'!I$1,'CASH BOOK 2023'!$E:$E,'CASHFLOW 2023'!$A9)</f>
        <v>0</v>
      </c>
      <c r="J9" s="71">
        <f>SUMIFS('CASH BOOK 2023'!$L:$L,'CASH BOOK 2023'!$C:$C,'CASHFLOW 2023'!J$1,'CASH BOOK 2023'!$E:$E,'CASHFLOW 2023'!$A9)</f>
        <v>0</v>
      </c>
      <c r="K9" s="71">
        <f>SUMIFS('CASH BOOK 2023'!$L:$L,'CASH BOOK 2023'!$C:$C,'CASHFLOW 2023'!K$1,'CASH BOOK 2023'!$E:$E,'CASHFLOW 2023'!$A9)</f>
        <v>0</v>
      </c>
      <c r="L9" s="71">
        <f>SUMIFS('CASH BOOK 2023'!$L:$L,'CASH BOOK 2023'!$C:$C,'CASHFLOW 2023'!L$1,'CASH BOOK 2023'!$E:$E,'CASHFLOW 2023'!$A9)</f>
        <v>0</v>
      </c>
      <c r="M9" s="71">
        <f>SUMIFS('CASH BOOK 2023'!$L:$L,'CASH BOOK 2023'!$C:$C,'CASHFLOW 2023'!M$1,'CASH BOOK 2023'!$E:$E,'CASHFLOW 2023'!$A9)</f>
        <v>0</v>
      </c>
      <c r="N9" s="71">
        <f>SUMIFS('CASH BOOK 2023'!$L:$L,'CASH BOOK 2023'!$C:$C,'CASHFLOW 2023'!N$1,'CASH BOOK 2023'!$E:$E,'CASHFLOW 2023'!$A9)</f>
        <v>0</v>
      </c>
      <c r="O9" s="71">
        <f>SUMIFS('CASH BOOK 2023'!$L:$L,'CASH BOOK 2023'!$C:$C,'CASHFLOW 2023'!O$1,'CASH BOOK 2023'!$E:$E,'CASHFLOW 2023'!$A9)</f>
        <v>0</v>
      </c>
      <c r="P9" s="69">
        <f t="shared" si="0"/>
        <v>0</v>
      </c>
      <c r="Q9" s="70">
        <v>0</v>
      </c>
      <c r="T9" s="247"/>
    </row>
    <row r="10" spans="1:20" ht="15.5" x14ac:dyDescent="0.35">
      <c r="A10" s="9" t="s">
        <v>2098</v>
      </c>
      <c r="C10" s="68"/>
      <c r="D10" s="71">
        <f>SUMIFS('CASH BOOK 2023'!$L:$L,'CASH BOOK 2023'!$C:$C,'CASHFLOW 2023'!D$1,'CASH BOOK 2023'!$E:$E,'CASHFLOW 2023'!$A10)</f>
        <v>0</v>
      </c>
      <c r="E10" s="71">
        <f>SUMIFS('CASH BOOK 2023'!$L:$L,'CASH BOOK 2023'!$C:$C,'CASHFLOW 2023'!E$1,'CASH BOOK 2023'!$E:$E,'CASHFLOW 2023'!$A10)</f>
        <v>0</v>
      </c>
      <c r="F10" s="71">
        <f>SUMIFS('CASH BOOK 2023'!$L:$L,'CASH BOOK 2023'!$C:$C,'CASHFLOW 2023'!F$1,'CASH BOOK 2023'!$E:$E,'CASHFLOW 2023'!$A10)</f>
        <v>0</v>
      </c>
      <c r="G10" s="71">
        <f>SUMIFS('CASH BOOK 2023'!$L:$L,'CASH BOOK 2023'!$C:$C,'CASHFLOW 2023'!G$1,'CASH BOOK 2023'!$E:$E,'CASHFLOW 2023'!$A10)</f>
        <v>0</v>
      </c>
      <c r="H10" s="71">
        <f>SUMIFS('CASH BOOK 2023'!$L:$L,'CASH BOOK 2023'!$C:$C,'CASHFLOW 2023'!H$1,'CASH BOOK 2023'!$E:$E,'CASHFLOW 2023'!$A10)</f>
        <v>754.19999999999993</v>
      </c>
      <c r="I10" s="71">
        <f>SUMIFS('CASH BOOK 2023'!$L:$L,'CASH BOOK 2023'!$C:$C,'CASHFLOW 2023'!I$1,'CASH BOOK 2023'!$E:$E,'CASHFLOW 2023'!$A10)</f>
        <v>0</v>
      </c>
      <c r="J10" s="71">
        <f>SUMIFS('CASH BOOK 2023'!$L:$L,'CASH BOOK 2023'!$C:$C,'CASHFLOW 2023'!J$1,'CASH BOOK 2023'!$E:$E,'CASHFLOW 2023'!$A10)</f>
        <v>0</v>
      </c>
      <c r="K10" s="71">
        <f>SUMIFS('CASH BOOK 2023'!$L:$L,'CASH BOOK 2023'!$C:$C,'CASHFLOW 2023'!K$1,'CASH BOOK 2023'!$E:$E,'CASHFLOW 2023'!$A10)</f>
        <v>0</v>
      </c>
      <c r="L10" s="71">
        <f>SUMIFS('CASH BOOK 2023'!$L:$L,'CASH BOOK 2023'!$C:$C,'CASHFLOW 2023'!L$1,'CASH BOOK 2023'!$E:$E,'CASHFLOW 2023'!$A10)</f>
        <v>0</v>
      </c>
      <c r="M10" s="71">
        <f>SUMIFS('CASH BOOK 2023'!$L:$L,'CASH BOOK 2023'!$C:$C,'CASHFLOW 2023'!M$1,'CASH BOOK 2023'!$E:$E,'CASHFLOW 2023'!$A10)</f>
        <v>0</v>
      </c>
      <c r="N10" s="71">
        <f>SUMIFS('CASH BOOK 2023'!$L:$L,'CASH BOOK 2023'!$C:$C,'CASHFLOW 2023'!N$1,'CASH BOOK 2023'!$E:$E,'CASHFLOW 2023'!$A10)</f>
        <v>0</v>
      </c>
      <c r="O10" s="71">
        <f>SUMIFS('CASH BOOK 2023'!$L:$L,'CASH BOOK 2023'!$C:$C,'CASHFLOW 2023'!O$1,'CASH BOOK 2023'!$E:$E,'CASHFLOW 2023'!$A10)</f>
        <v>0</v>
      </c>
      <c r="P10" s="69">
        <f t="shared" ref="P10" si="1">SUM(D10:O10)</f>
        <v>754.19999999999993</v>
      </c>
      <c r="Q10" s="70">
        <v>0</v>
      </c>
      <c r="T10" s="247"/>
    </row>
    <row r="11" spans="1:20" ht="15.5" x14ac:dyDescent="0.35">
      <c r="A11" s="9" t="s">
        <v>5</v>
      </c>
      <c r="C11" s="68"/>
      <c r="D11" s="71">
        <f>SUMIFS('CASH BOOK 2023'!$L:$L,'CASH BOOK 2023'!$C:$C,'CASHFLOW 2023'!D$1,'CASH BOOK 2023'!$E:$E,'CASHFLOW 2023'!$A11)</f>
        <v>0</v>
      </c>
      <c r="E11" s="71">
        <f>SUMIFS('CASH BOOK 2023'!$L:$L,'CASH BOOK 2023'!$C:$C,'CASHFLOW 2023'!E$1,'CASH BOOK 2023'!$E:$E,'CASHFLOW 2023'!$A11)</f>
        <v>0</v>
      </c>
      <c r="F11" s="71">
        <f>SUMIFS('CASH BOOK 2023'!$L:$L,'CASH BOOK 2023'!$C:$C,'CASHFLOW 2023'!F$1,'CASH BOOK 2023'!$E:$E,'CASHFLOW 2023'!$A11)</f>
        <v>0</v>
      </c>
      <c r="G11" s="71">
        <f>SUMIFS('CASH BOOK 2023'!$L:$L,'CASH BOOK 2023'!$C:$C,'CASHFLOW 2023'!G$1,'CASH BOOK 2023'!$E:$E,'CASHFLOW 2023'!$A11)</f>
        <v>0</v>
      </c>
      <c r="H11" s="71">
        <f>SUMIFS('CASH BOOK 2023'!$L:$L,'CASH BOOK 2023'!$C:$C,'CASHFLOW 2023'!H$1,'CASH BOOK 2023'!$E:$E,'CASHFLOW 2023'!$A11)</f>
        <v>0</v>
      </c>
      <c r="I11" s="71">
        <f>SUMIFS('CASH BOOK 2023'!$L:$L,'CASH BOOK 2023'!$C:$C,'CASHFLOW 2023'!I$1,'CASH BOOK 2023'!$E:$E,'CASHFLOW 2023'!$A11)</f>
        <v>0</v>
      </c>
      <c r="J11" s="71">
        <f>SUMIFS('CASH BOOK 2023'!$L:$L,'CASH BOOK 2023'!$C:$C,'CASHFLOW 2023'!J$1,'CASH BOOK 2023'!$E:$E,'CASHFLOW 2023'!$A11)</f>
        <v>0</v>
      </c>
      <c r="K11" s="71">
        <f>SUMIFS('CASH BOOK 2023'!$L:$L,'CASH BOOK 2023'!$C:$C,'CASHFLOW 2023'!K$1,'CASH BOOK 2023'!$E:$E,'CASHFLOW 2023'!$A11)</f>
        <v>0</v>
      </c>
      <c r="L11" s="71">
        <f>SUMIFS('CASH BOOK 2023'!$L:$L,'CASH BOOK 2023'!$C:$C,'CASHFLOW 2023'!L$1,'CASH BOOK 2023'!$E:$E,'CASHFLOW 2023'!$A11)</f>
        <v>0</v>
      </c>
      <c r="M11" s="71">
        <f>SUMIFS('CASH BOOK 2023'!$L:$L,'CASH BOOK 2023'!$C:$C,'CASHFLOW 2023'!M$1,'CASH BOOK 2023'!$E:$E,'CASHFLOW 2023'!$A11)</f>
        <v>0</v>
      </c>
      <c r="N11" s="71">
        <f>SUMIFS('CASH BOOK 2023'!$L:$L,'CASH BOOK 2023'!$C:$C,'CASHFLOW 2023'!N$1,'CASH BOOK 2023'!$E:$E,'CASHFLOW 2023'!$A11)</f>
        <v>0</v>
      </c>
      <c r="O11" s="71">
        <f>SUMIFS('CASH BOOK 2023'!$L:$L,'CASH BOOK 2023'!$C:$C,'CASHFLOW 2023'!O$1,'CASH BOOK 2023'!$E:$E,'CASHFLOW 2023'!$A11)</f>
        <v>0</v>
      </c>
      <c r="P11" s="69">
        <f>SUM(D11:O11)</f>
        <v>0</v>
      </c>
      <c r="Q11" s="70"/>
      <c r="T11" s="247"/>
    </row>
    <row r="12" spans="1:20" ht="15.5" x14ac:dyDescent="0.35">
      <c r="T12" s="247"/>
    </row>
    <row r="13" spans="1:20" ht="15.5" x14ac:dyDescent="0.35">
      <c r="C13" s="68"/>
      <c r="D13" s="72">
        <f t="shared" ref="D13:Q13" si="2">SUM(D3:D11)</f>
        <v>6844.5599999999995</v>
      </c>
      <c r="E13" s="72">
        <f t="shared" si="2"/>
        <v>1405.1399999999999</v>
      </c>
      <c r="F13" s="72">
        <f t="shared" si="2"/>
        <v>4672.2</v>
      </c>
      <c r="G13" s="72">
        <f t="shared" si="2"/>
        <v>4526.6000000000004</v>
      </c>
      <c r="H13" s="72">
        <f t="shared" si="2"/>
        <v>1754.67</v>
      </c>
      <c r="I13" s="72">
        <f t="shared" si="2"/>
        <v>839.1099999999999</v>
      </c>
      <c r="J13" s="72">
        <f t="shared" si="2"/>
        <v>395.13</v>
      </c>
      <c r="K13" s="72">
        <f t="shared" si="2"/>
        <v>351.33</v>
      </c>
      <c r="L13" s="72">
        <f t="shared" si="2"/>
        <v>0</v>
      </c>
      <c r="M13" s="72">
        <f t="shared" si="2"/>
        <v>0</v>
      </c>
      <c r="N13" s="72">
        <f t="shared" si="2"/>
        <v>0</v>
      </c>
      <c r="O13" s="72">
        <f t="shared" si="2"/>
        <v>0</v>
      </c>
      <c r="P13" s="72">
        <f t="shared" si="2"/>
        <v>20788.740000000002</v>
      </c>
      <c r="Q13" s="73">
        <f t="shared" si="2"/>
        <v>13940</v>
      </c>
      <c r="T13" s="247"/>
    </row>
    <row r="14" spans="1:20" ht="15.5" x14ac:dyDescent="0.35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  <c r="T14" s="247"/>
    </row>
    <row r="15" spans="1:20" ht="15.5" x14ac:dyDescent="0.35">
      <c r="A15" s="9" t="s">
        <v>40</v>
      </c>
      <c r="C15" s="68"/>
      <c r="D15" s="71">
        <f>SUMIFS('CASH BOOK 2023'!$L:$L,'CASH BOOK 2023'!$C:$C,'CASHFLOW 2023'!D$1,'CASH BOOK 2023'!$E:$E,'CASHFLOW 2023'!$A15)</f>
        <v>-701.4</v>
      </c>
      <c r="E15" s="71">
        <f>SUMIFS('CASH BOOK 2023'!$L:$L,'CASH BOOK 2023'!$C:$C,'CASHFLOW 2023'!E$1,'CASH BOOK 2023'!$E:$E,'CASHFLOW 2023'!$A15)</f>
        <v>-445.99</v>
      </c>
      <c r="F15" s="71">
        <f>SUMIFS('CASH BOOK 2023'!$L:$L,'CASH BOOK 2023'!$C:$C,'CASHFLOW 2023'!F$1,'CASH BOOK 2023'!$E:$E,'CASHFLOW 2023'!$A15)</f>
        <v>-220</v>
      </c>
      <c r="G15" s="71">
        <f>SUMIFS('CASH BOOK 2023'!$L:$L,'CASH BOOK 2023'!$C:$C,'CASHFLOW 2023'!G$1,'CASH BOOK 2023'!$E:$E,'CASHFLOW 2023'!$A15)</f>
        <v>-211.4</v>
      </c>
      <c r="H15" s="71">
        <f>SUMIFS('CASH BOOK 2023'!$L:$L,'CASH BOOK 2023'!$C:$C,'CASHFLOW 2023'!H$1,'CASH BOOK 2023'!$E:$E,'CASHFLOW 2023'!$A15)</f>
        <v>-383</v>
      </c>
      <c r="I15" s="71">
        <f>SUMIFS('CASH BOOK 2023'!$L:$L,'CASH BOOK 2023'!$C:$C,'CASHFLOW 2023'!I$1,'CASH BOOK 2023'!$E:$E,'CASHFLOW 2023'!$A15)</f>
        <v>-150</v>
      </c>
      <c r="J15" s="71">
        <f>SUMIFS('CASH BOOK 2023'!$L:$L,'CASH BOOK 2023'!$C:$C,'CASHFLOW 2023'!J$1,'CASH BOOK 2023'!$E:$E,'CASHFLOW 2023'!$A15)</f>
        <v>-259.95</v>
      </c>
      <c r="K15" s="71">
        <f>SUMIFS('CASH BOOK 2023'!$L:$L,'CASH BOOK 2023'!$C:$C,'CASHFLOW 2023'!K$1,'CASH BOOK 2023'!$E:$E,'CASHFLOW 2023'!$A15)</f>
        <v>0</v>
      </c>
      <c r="L15" s="71">
        <f>SUMIFS('CASH BOOK 2023'!$L:$L,'CASH BOOK 2023'!$C:$C,'CASHFLOW 2023'!L$1,'CASH BOOK 2023'!$E:$E,'CASHFLOW 2023'!$A15)</f>
        <v>0</v>
      </c>
      <c r="M15" s="71">
        <f>SUMIFS('CASH BOOK 2023'!$L:$L,'CASH BOOK 2023'!$C:$C,'CASHFLOW 2023'!M$1,'CASH BOOK 2023'!$E:$E,'CASHFLOW 2023'!$A15)</f>
        <v>0</v>
      </c>
      <c r="N15" s="71">
        <f>SUMIFS('CASH BOOK 2023'!$L:$L,'CASH BOOK 2023'!$C:$C,'CASHFLOW 2023'!N$1,'CASH BOOK 2023'!$E:$E,'CASHFLOW 2023'!$A15)</f>
        <v>0</v>
      </c>
      <c r="O15" s="71">
        <f>SUMIFS('CASH BOOK 2023'!$L:$L,'CASH BOOK 2023'!$C:$C,'CASHFLOW 2023'!O$1,'CASH BOOK 2023'!$E:$E,'CASHFLOW 2023'!$A15)</f>
        <v>0</v>
      </c>
      <c r="P15" s="69">
        <f t="shared" ref="P15:P30" si="3">SUM(D15:O15)</f>
        <v>-2371.7399999999998</v>
      </c>
      <c r="Q15" s="70">
        <v>5000</v>
      </c>
      <c r="T15" s="251"/>
    </row>
    <row r="16" spans="1:20" ht="15.5" x14ac:dyDescent="0.35">
      <c r="A16" s="9" t="s">
        <v>85</v>
      </c>
      <c r="C16" s="68"/>
      <c r="D16" s="71">
        <f>SUMIFS('CASH BOOK 2023'!$L:$L,'CASH BOOK 2023'!$C:$C,'CASHFLOW 2023'!D$1,'CASH BOOK 2023'!$E:$E,'CASHFLOW 2023'!$A16)</f>
        <v>0</v>
      </c>
      <c r="E16" s="71">
        <f>SUMIFS('CASH BOOK 2023'!$L:$L,'CASH BOOK 2023'!$C:$C,'CASHFLOW 2023'!E$1,'CASH BOOK 2023'!$E:$E,'CASHFLOW 2023'!$A16)</f>
        <v>0</v>
      </c>
      <c r="F16" s="71">
        <f>SUMIFS('CASH BOOK 2023'!$L:$L,'CASH BOOK 2023'!$C:$C,'CASHFLOW 2023'!F$1,'CASH BOOK 2023'!$E:$E,'CASHFLOW 2023'!$A16)</f>
        <v>0</v>
      </c>
      <c r="G16" s="71">
        <f>SUMIFS('CASH BOOK 2023'!$L:$L,'CASH BOOK 2023'!$C:$C,'CASHFLOW 2023'!G$1,'CASH BOOK 2023'!$E:$E,'CASHFLOW 2023'!$A16)</f>
        <v>0</v>
      </c>
      <c r="H16" s="71">
        <f>SUMIFS('CASH BOOK 2023'!$L:$L,'CASH BOOK 2023'!$C:$C,'CASHFLOW 2023'!H$1,'CASH BOOK 2023'!$E:$E,'CASHFLOW 2023'!$A16)</f>
        <v>0</v>
      </c>
      <c r="I16" s="71">
        <f>SUMIFS('CASH BOOK 2023'!$L:$L,'CASH BOOK 2023'!$C:$C,'CASHFLOW 2023'!I$1,'CASH BOOK 2023'!$E:$E,'CASHFLOW 2023'!$A16)</f>
        <v>0</v>
      </c>
      <c r="J16" s="71">
        <f>SUMIFS('CASH BOOK 2023'!$L:$L,'CASH BOOK 2023'!$C:$C,'CASHFLOW 2023'!J$1,'CASH BOOK 2023'!$E:$E,'CASHFLOW 2023'!$A16)</f>
        <v>0</v>
      </c>
      <c r="K16" s="71">
        <f>SUMIFS('CASH BOOK 2023'!$L:$L,'CASH BOOK 2023'!$C:$C,'CASHFLOW 2023'!K$1,'CASH BOOK 2023'!$E:$E,'CASHFLOW 2023'!$A16)</f>
        <v>0</v>
      </c>
      <c r="L16" s="71">
        <f>SUMIFS('CASH BOOK 2023'!$L:$L,'CASH BOOK 2023'!$C:$C,'CASHFLOW 2023'!L$1,'CASH BOOK 2023'!$E:$E,'CASHFLOW 2023'!$A16)</f>
        <v>0</v>
      </c>
      <c r="M16" s="71">
        <f>SUMIFS('CASH BOOK 2023'!$L:$L,'CASH BOOK 2023'!$C:$C,'CASHFLOW 2023'!M$1,'CASH BOOK 2023'!$E:$E,'CASHFLOW 2023'!$A16)</f>
        <v>0</v>
      </c>
      <c r="N16" s="71">
        <f>SUMIFS('CASH BOOK 2023'!$L:$L,'CASH BOOK 2023'!$C:$C,'CASHFLOW 2023'!N$1,'CASH BOOK 2023'!$E:$E,'CASHFLOW 2023'!$A16)</f>
        <v>0</v>
      </c>
      <c r="O16" s="71">
        <f>SUMIFS('CASH BOOK 2023'!$L:$L,'CASH BOOK 2023'!$C:$C,'CASHFLOW 2023'!O$1,'CASH BOOK 2023'!$E:$E,'CASHFLOW 2023'!$A16)</f>
        <v>0</v>
      </c>
      <c r="P16" s="69">
        <f t="shared" si="3"/>
        <v>0</v>
      </c>
      <c r="Q16" s="70">
        <v>0</v>
      </c>
      <c r="T16" s="247"/>
    </row>
    <row r="17" spans="1:20" ht="15.5" x14ac:dyDescent="0.35">
      <c r="A17" s="9" t="s">
        <v>77</v>
      </c>
      <c r="C17" s="68"/>
      <c r="D17" s="71">
        <f>SUMIFS('CASH BOOK 2023'!$L:$L,'CASH BOOK 2023'!$C:$C,'CASHFLOW 2023'!D$1,'CASH BOOK 2023'!$E:$E,'CASHFLOW 2023'!$A17)</f>
        <v>0</v>
      </c>
      <c r="E17" s="71">
        <f>SUMIFS('CASH BOOK 2023'!$L:$L,'CASH BOOK 2023'!$C:$C,'CASHFLOW 2023'!E$1,'CASH BOOK 2023'!$E:$E,'CASHFLOW 2023'!$A17)</f>
        <v>0</v>
      </c>
      <c r="F17" s="71">
        <f>SUMIFS('CASH BOOK 2023'!$L:$L,'CASH BOOK 2023'!$C:$C,'CASHFLOW 2023'!F$1,'CASH BOOK 2023'!$E:$E,'CASHFLOW 2023'!$A17)</f>
        <v>0</v>
      </c>
      <c r="G17" s="71">
        <f>SUMIFS('CASH BOOK 2023'!$L:$L,'CASH BOOK 2023'!$C:$C,'CASHFLOW 2023'!G$1,'CASH BOOK 2023'!$E:$E,'CASHFLOW 2023'!$A17)</f>
        <v>0</v>
      </c>
      <c r="H17" s="71">
        <f>SUMIFS('CASH BOOK 2023'!$L:$L,'CASH BOOK 2023'!$C:$C,'CASHFLOW 2023'!H$1,'CASH BOOK 2023'!$E:$E,'CASHFLOW 2023'!$A17)</f>
        <v>0</v>
      </c>
      <c r="I17" s="71">
        <f>SUMIFS('CASH BOOK 2023'!$L:$L,'CASH BOOK 2023'!$C:$C,'CASHFLOW 2023'!I$1,'CASH BOOK 2023'!$E:$E,'CASHFLOW 2023'!$A17)</f>
        <v>0</v>
      </c>
      <c r="J17" s="71">
        <f>SUMIFS('CASH BOOK 2023'!$L:$L,'CASH BOOK 2023'!$C:$C,'CASHFLOW 2023'!J$1,'CASH BOOK 2023'!$E:$E,'CASHFLOW 2023'!$A17)</f>
        <v>0</v>
      </c>
      <c r="K17" s="71">
        <f>SUMIFS('CASH BOOK 2023'!$L:$L,'CASH BOOK 2023'!$C:$C,'CASHFLOW 2023'!K$1,'CASH BOOK 2023'!$E:$E,'CASHFLOW 2023'!$A17)</f>
        <v>0</v>
      </c>
      <c r="L17" s="71">
        <f>SUMIFS('CASH BOOK 2023'!$L:$L,'CASH BOOK 2023'!$C:$C,'CASHFLOW 2023'!L$1,'CASH BOOK 2023'!$E:$E,'CASHFLOW 2023'!$A17)</f>
        <v>0</v>
      </c>
      <c r="M17" s="71">
        <f>SUMIFS('CASH BOOK 2023'!$L:$L,'CASH BOOK 2023'!$C:$C,'CASHFLOW 2023'!M$1,'CASH BOOK 2023'!$E:$E,'CASHFLOW 2023'!$A17)</f>
        <v>0</v>
      </c>
      <c r="N17" s="71">
        <f>SUMIFS('CASH BOOK 2023'!$L:$L,'CASH BOOK 2023'!$C:$C,'CASHFLOW 2023'!N$1,'CASH BOOK 2023'!$E:$E,'CASHFLOW 2023'!$A17)</f>
        <v>0</v>
      </c>
      <c r="O17" s="71">
        <f>SUMIFS('CASH BOOK 2023'!$L:$L,'CASH BOOK 2023'!$C:$C,'CASHFLOW 2023'!O$1,'CASH BOOK 2023'!$E:$E,'CASHFLOW 2023'!$A17)</f>
        <v>0</v>
      </c>
      <c r="P17" s="69">
        <f t="shared" si="3"/>
        <v>0</v>
      </c>
      <c r="Q17" s="70">
        <v>0</v>
      </c>
      <c r="T17" s="247"/>
    </row>
    <row r="18" spans="1:20" ht="15.5" x14ac:dyDescent="0.35">
      <c r="A18" s="9" t="s">
        <v>320</v>
      </c>
      <c r="C18" s="68"/>
      <c r="D18" s="71">
        <f>SUMIFS('CASH BOOK 2023'!$L:$L,'CASH BOOK 2023'!$C:$C,'CASHFLOW 2023'!D$1,'CASH BOOK 2023'!$E:$E,'CASHFLOW 2023'!$A18)</f>
        <v>0</v>
      </c>
      <c r="E18" s="71">
        <f>SUMIFS('CASH BOOK 2023'!$L:$L,'CASH BOOK 2023'!$C:$C,'CASHFLOW 2023'!E$1,'CASH BOOK 2023'!$E:$E,'CASHFLOW 2023'!$A18)</f>
        <v>0</v>
      </c>
      <c r="F18" s="71">
        <f>SUMIFS('CASH BOOK 2023'!$L:$L,'CASH BOOK 2023'!$C:$C,'CASHFLOW 2023'!F$1,'CASH BOOK 2023'!$E:$E,'CASHFLOW 2023'!$A18)</f>
        <v>0</v>
      </c>
      <c r="G18" s="71">
        <f>SUMIFS('CASH BOOK 2023'!$L:$L,'CASH BOOK 2023'!$C:$C,'CASHFLOW 2023'!G$1,'CASH BOOK 2023'!$E:$E,'CASHFLOW 2023'!$A18)</f>
        <v>0</v>
      </c>
      <c r="H18" s="71">
        <f>SUMIFS('CASH BOOK 2023'!$L:$L,'CASH BOOK 2023'!$C:$C,'CASHFLOW 2023'!H$1,'CASH BOOK 2023'!$E:$E,'CASHFLOW 2023'!$A18)</f>
        <v>0</v>
      </c>
      <c r="I18" s="71">
        <f>SUMIFS('CASH BOOK 2023'!$L:$L,'CASH BOOK 2023'!$C:$C,'CASHFLOW 2023'!I$1,'CASH BOOK 2023'!$E:$E,'CASHFLOW 2023'!$A18)</f>
        <v>0</v>
      </c>
      <c r="J18" s="71">
        <f>SUMIFS('CASH BOOK 2023'!$L:$L,'CASH BOOK 2023'!$C:$C,'CASHFLOW 2023'!J$1,'CASH BOOK 2023'!$E:$E,'CASHFLOW 2023'!$A18)</f>
        <v>0</v>
      </c>
      <c r="K18" s="71">
        <f>SUMIFS('CASH BOOK 2023'!$L:$L,'CASH BOOK 2023'!$C:$C,'CASHFLOW 2023'!K$1,'CASH BOOK 2023'!$E:$E,'CASHFLOW 2023'!$A18)</f>
        <v>0</v>
      </c>
      <c r="L18" s="71">
        <f>SUMIFS('CASH BOOK 2023'!$L:$L,'CASH BOOK 2023'!$C:$C,'CASHFLOW 2023'!L$1,'CASH BOOK 2023'!$E:$E,'CASHFLOW 2023'!$A18)</f>
        <v>0</v>
      </c>
      <c r="M18" s="71">
        <f>SUMIFS('CASH BOOK 2023'!$L:$L,'CASH BOOK 2023'!$C:$C,'CASHFLOW 2023'!M$1,'CASH BOOK 2023'!$E:$E,'CASHFLOW 2023'!$A18)</f>
        <v>0</v>
      </c>
      <c r="N18" s="71">
        <f>SUMIFS('CASH BOOK 2023'!$L:$L,'CASH BOOK 2023'!$C:$C,'CASHFLOW 2023'!N$1,'CASH BOOK 2023'!$E:$E,'CASHFLOW 2023'!$A18)</f>
        <v>0</v>
      </c>
      <c r="O18" s="71">
        <f>SUMIFS('CASH BOOK 2023'!$L:$L,'CASH BOOK 2023'!$C:$C,'CASHFLOW 2023'!O$1,'CASH BOOK 2023'!$E:$E,'CASHFLOW 2023'!$A18)</f>
        <v>0</v>
      </c>
      <c r="P18" s="69">
        <f t="shared" si="3"/>
        <v>0</v>
      </c>
      <c r="Q18" s="70"/>
      <c r="T18" s="247"/>
    </row>
    <row r="19" spans="1:20" ht="15.5" x14ac:dyDescent="0.35">
      <c r="A19" s="9" t="s">
        <v>8</v>
      </c>
      <c r="C19" s="68"/>
      <c r="D19" s="71">
        <f>SUMIFS('CASH BOOK 2023'!$L:$L,'CASH BOOK 2023'!$C:$C,'CASHFLOW 2023'!D$1,'CASH BOOK 2023'!$E:$E,'CASHFLOW 2023'!$A19)</f>
        <v>-328.67</v>
      </c>
      <c r="E19" s="71">
        <f>SUMIFS('CASH BOOK 2023'!$L:$L,'CASH BOOK 2023'!$C:$C,'CASHFLOW 2023'!E$1,'CASH BOOK 2023'!$E:$E,'CASHFLOW 2023'!$A19)</f>
        <v>-302.13</v>
      </c>
      <c r="F19" s="71">
        <f>SUMIFS('CASH BOOK 2023'!$L:$L,'CASH BOOK 2023'!$C:$C,'CASHFLOW 2023'!F$1,'CASH BOOK 2023'!$E:$E,'CASHFLOW 2023'!$A19)</f>
        <v>-183.55</v>
      </c>
      <c r="G19" s="71">
        <f>SUMIFS('CASH BOOK 2023'!$L:$L,'CASH BOOK 2023'!$C:$C,'CASHFLOW 2023'!G$1,'CASH BOOK 2023'!$E:$E,'CASHFLOW 2023'!$A19)</f>
        <v>-278.61</v>
      </c>
      <c r="H19" s="71">
        <f>SUMIFS('CASH BOOK 2023'!$L:$L,'CASH BOOK 2023'!$C:$C,'CASHFLOW 2023'!H$1,'CASH BOOK 2023'!$E:$E,'CASHFLOW 2023'!$A19)</f>
        <v>-103.06</v>
      </c>
      <c r="I19" s="71">
        <f>SUMIFS('CASH BOOK 2023'!$L:$L,'CASH BOOK 2023'!$C:$C,'CASHFLOW 2023'!I$1,'CASH BOOK 2023'!$E:$E,'CASHFLOW 2023'!$A19)</f>
        <v>-65.92</v>
      </c>
      <c r="J19" s="71">
        <f>SUMIFS('CASH BOOK 2023'!$L:$L,'CASH BOOK 2023'!$C:$C,'CASHFLOW 2023'!J$1,'CASH BOOK 2023'!$E:$E,'CASHFLOW 2023'!$A19)</f>
        <v>-23.45</v>
      </c>
      <c r="K19" s="71">
        <f>SUMIFS('CASH BOOK 2023'!$L:$L,'CASH BOOK 2023'!$C:$C,'CASHFLOW 2023'!K$1,'CASH BOOK 2023'!$E:$E,'CASHFLOW 2023'!$A19)</f>
        <v>-21.03</v>
      </c>
      <c r="L19" s="71">
        <f>SUMIFS('CASH BOOK 2023'!$L:$L,'CASH BOOK 2023'!$C:$C,'CASHFLOW 2023'!L$1,'CASH BOOK 2023'!$E:$E,'CASHFLOW 2023'!$A19)</f>
        <v>0</v>
      </c>
      <c r="M19" s="71">
        <f>SUMIFS('CASH BOOK 2023'!$L:$L,'CASH BOOK 2023'!$C:$C,'CASHFLOW 2023'!M$1,'CASH BOOK 2023'!$E:$E,'CASHFLOW 2023'!$A19)</f>
        <v>0</v>
      </c>
      <c r="N19" s="71">
        <f>SUMIFS('CASH BOOK 2023'!$L:$L,'CASH BOOK 2023'!$C:$C,'CASHFLOW 2023'!N$1,'CASH BOOK 2023'!$E:$E,'CASHFLOW 2023'!$A19)</f>
        <v>0</v>
      </c>
      <c r="O19" s="71">
        <f>SUMIFS('CASH BOOK 2023'!$L:$L,'CASH BOOK 2023'!$C:$C,'CASHFLOW 2023'!O$1,'CASH BOOK 2023'!$E:$E,'CASHFLOW 2023'!$A19)</f>
        <v>0</v>
      </c>
      <c r="P19" s="69">
        <f t="shared" si="3"/>
        <v>-1306.42</v>
      </c>
      <c r="Q19" s="70">
        <v>3500</v>
      </c>
      <c r="T19" s="247"/>
    </row>
    <row r="20" spans="1:20" ht="15.5" x14ac:dyDescent="0.35">
      <c r="A20" s="9" t="s">
        <v>9</v>
      </c>
      <c r="C20" s="68"/>
      <c r="D20" s="71">
        <f>SUMIFS('CASH BOOK 2023'!$L:$L,'CASH BOOK 2023'!$C:$C,'CASHFLOW 2023'!D$1,'CASH BOOK 2023'!$E:$E,'CASHFLOW 2023'!$A20)</f>
        <v>0</v>
      </c>
      <c r="E20" s="71">
        <f>SUMIFS('CASH BOOK 2023'!$L:$L,'CASH BOOK 2023'!$C:$C,'CASHFLOW 2023'!E$1,'CASH BOOK 2023'!$E:$E,'CASHFLOW 2023'!$A20)</f>
        <v>-251.73</v>
      </c>
      <c r="F20" s="71">
        <f>SUMIFS('CASH BOOK 2023'!$L:$L,'CASH BOOK 2023'!$C:$C,'CASHFLOW 2023'!F$1,'CASH BOOK 2023'!$E:$E,'CASHFLOW 2023'!$A20)</f>
        <v>-159.38999999999999</v>
      </c>
      <c r="G20" s="71">
        <f>SUMIFS('CASH BOOK 2023'!$L:$L,'CASH BOOK 2023'!$C:$C,'CASHFLOW 2023'!G$1,'CASH BOOK 2023'!$E:$E,'CASHFLOW 2023'!$A20)</f>
        <v>-142.4</v>
      </c>
      <c r="H20" s="71">
        <f>SUMIFS('CASH BOOK 2023'!$L:$L,'CASH BOOK 2023'!$C:$C,'CASHFLOW 2023'!H$1,'CASH BOOK 2023'!$E:$E,'CASHFLOW 2023'!$A20)</f>
        <v>-128.1</v>
      </c>
      <c r="I20" s="71">
        <f>SUMIFS('CASH BOOK 2023'!$L:$L,'CASH BOOK 2023'!$C:$C,'CASHFLOW 2023'!I$1,'CASH BOOK 2023'!$E:$E,'CASHFLOW 2023'!$A20)</f>
        <v>-82.77</v>
      </c>
      <c r="J20" s="71">
        <f>SUMIFS('CASH BOOK 2023'!$L:$L,'CASH BOOK 2023'!$C:$C,'CASHFLOW 2023'!J$1,'CASH BOOK 2023'!$E:$E,'CASHFLOW 2023'!$A20)</f>
        <v>-131.91</v>
      </c>
      <c r="K20" s="71">
        <f>SUMIFS('CASH BOOK 2023'!$L:$L,'CASH BOOK 2023'!$C:$C,'CASHFLOW 2023'!K$1,'CASH BOOK 2023'!$E:$E,'CASHFLOW 2023'!$A20)</f>
        <v>-112.92</v>
      </c>
      <c r="L20" s="71">
        <f>SUMIFS('CASH BOOK 2023'!$L:$L,'CASH BOOK 2023'!$C:$C,'CASHFLOW 2023'!L$1,'CASH BOOK 2023'!$E:$E,'CASHFLOW 2023'!$A20)</f>
        <v>0</v>
      </c>
      <c r="M20" s="71">
        <f>SUMIFS('CASH BOOK 2023'!$L:$L,'CASH BOOK 2023'!$C:$C,'CASHFLOW 2023'!M$1,'CASH BOOK 2023'!$E:$E,'CASHFLOW 2023'!$A20)</f>
        <v>0</v>
      </c>
      <c r="N20" s="71">
        <f>SUMIFS('CASH BOOK 2023'!$L:$L,'CASH BOOK 2023'!$C:$C,'CASHFLOW 2023'!N$1,'CASH BOOK 2023'!$E:$E,'CASHFLOW 2023'!$A20)</f>
        <v>0</v>
      </c>
      <c r="O20" s="71">
        <f>SUMIFS('CASH BOOK 2023'!$L:$L,'CASH BOOK 2023'!$C:$C,'CASHFLOW 2023'!O$1,'CASH BOOK 2023'!$E:$E,'CASHFLOW 2023'!$A20)</f>
        <v>0</v>
      </c>
      <c r="P20" s="69">
        <f t="shared" si="3"/>
        <v>-1009.2199999999999</v>
      </c>
      <c r="Q20" s="70">
        <v>1500</v>
      </c>
      <c r="T20" s="247"/>
    </row>
    <row r="21" spans="1:20" ht="15.5" x14ac:dyDescent="0.35">
      <c r="A21" s="9" t="s">
        <v>301</v>
      </c>
      <c r="C21" s="68"/>
      <c r="D21" s="71">
        <f>SUMIFS('CASH BOOK 2023'!$L:$L,'CASH BOOK 2023'!$C:$C,'CASHFLOW 2023'!D$1,'CASH BOOK 2023'!$E:$E,'CASHFLOW 2023'!$A21)</f>
        <v>-45.54</v>
      </c>
      <c r="E21" s="71">
        <f>SUMIFS('CASH BOOK 2023'!$L:$L,'CASH BOOK 2023'!$C:$C,'CASHFLOW 2023'!E$1,'CASH BOOK 2023'!$E:$E,'CASHFLOW 2023'!$A21)</f>
        <v>-45.54</v>
      </c>
      <c r="F21" s="71">
        <f>SUMIFS('CASH BOOK 2023'!$L:$L,'CASH BOOK 2023'!$C:$C,'CASHFLOW 2023'!F$1,'CASH BOOK 2023'!$E:$E,'CASHFLOW 2023'!$A21)</f>
        <v>-45.54</v>
      </c>
      <c r="G21" s="71">
        <f>SUMIFS('CASH BOOK 2023'!$L:$L,'CASH BOOK 2023'!$C:$C,'CASHFLOW 2023'!G$1,'CASH BOOK 2023'!$E:$E,'CASHFLOW 2023'!$A21)</f>
        <v>-54.18</v>
      </c>
      <c r="H21" s="71">
        <f>SUMIFS('CASH BOOK 2023'!$L:$L,'CASH BOOK 2023'!$C:$C,'CASHFLOW 2023'!H$1,'CASH BOOK 2023'!$E:$E,'CASHFLOW 2023'!$A21)</f>
        <v>-54.18</v>
      </c>
      <c r="I21" s="71">
        <f>SUMIFS('CASH BOOK 2023'!$L:$L,'CASH BOOK 2023'!$C:$C,'CASHFLOW 2023'!I$1,'CASH BOOK 2023'!$E:$E,'CASHFLOW 2023'!$A21)</f>
        <v>-54.18</v>
      </c>
      <c r="J21" s="71">
        <f>SUMIFS('CASH BOOK 2023'!$L:$L,'CASH BOOK 2023'!$C:$C,'CASHFLOW 2023'!J$1,'CASH BOOK 2023'!$E:$E,'CASHFLOW 2023'!$A21)</f>
        <v>-54.18</v>
      </c>
      <c r="K21" s="71">
        <f>SUMIFS('CASH BOOK 2023'!$L:$L,'CASH BOOK 2023'!$C:$C,'CASHFLOW 2023'!K$1,'CASH BOOK 2023'!$E:$E,'CASHFLOW 2023'!$A21)</f>
        <v>-54.18</v>
      </c>
      <c r="L21" s="71">
        <f>SUMIFS('CASH BOOK 2023'!$L:$L,'CASH BOOK 2023'!$C:$C,'CASHFLOW 2023'!L$1,'CASH BOOK 2023'!$E:$E,'CASHFLOW 2023'!$A21)</f>
        <v>0</v>
      </c>
      <c r="M21" s="71">
        <f>SUMIFS('CASH BOOK 2023'!$L:$L,'CASH BOOK 2023'!$C:$C,'CASHFLOW 2023'!M$1,'CASH BOOK 2023'!$E:$E,'CASHFLOW 2023'!$A21)</f>
        <v>0</v>
      </c>
      <c r="N21" s="71">
        <f>SUMIFS('CASH BOOK 2023'!$L:$L,'CASH BOOK 2023'!$C:$C,'CASHFLOW 2023'!N$1,'CASH BOOK 2023'!$E:$E,'CASHFLOW 2023'!$A21)</f>
        <v>0</v>
      </c>
      <c r="O21" s="71">
        <f>SUMIFS('CASH BOOK 2023'!$L:$L,'CASH BOOK 2023'!$C:$C,'CASHFLOW 2023'!O$1,'CASH BOOK 2023'!$E:$E,'CASHFLOW 2023'!$A21)</f>
        <v>0</v>
      </c>
      <c r="P21" s="69">
        <f t="shared" si="3"/>
        <v>-407.52000000000004</v>
      </c>
      <c r="Q21" s="70">
        <v>540</v>
      </c>
      <c r="T21" s="247"/>
    </row>
    <row r="22" spans="1:20" ht="15.5" x14ac:dyDescent="0.35">
      <c r="A22" s="9" t="s">
        <v>86</v>
      </c>
      <c r="C22" s="68"/>
      <c r="D22" s="71">
        <f>SUMIFS('CASH BOOK 2023'!$L:$L,'CASH BOOK 2023'!$C:$C,'CASHFLOW 2023'!D$1,'CASH BOOK 2023'!$E:$E,'CASHFLOW 2023'!$A22)</f>
        <v>0</v>
      </c>
      <c r="E22" s="71">
        <f>SUMIFS('CASH BOOK 2023'!$L:$L,'CASH BOOK 2023'!$C:$C,'CASHFLOW 2023'!E$1,'CASH BOOK 2023'!$E:$E,'CASHFLOW 2023'!$A22)</f>
        <v>0</v>
      </c>
      <c r="F22" s="71">
        <f>SUMIFS('CASH BOOK 2023'!$L:$L,'CASH BOOK 2023'!$C:$C,'CASHFLOW 2023'!F$1,'CASH BOOK 2023'!$E:$E,'CASHFLOW 2023'!$A22)</f>
        <v>-100</v>
      </c>
      <c r="G22" s="71">
        <f>SUMIFS('CASH BOOK 2023'!$L:$L,'CASH BOOK 2023'!$C:$C,'CASHFLOW 2023'!G$1,'CASH BOOK 2023'!$E:$E,'CASHFLOW 2023'!$A22)</f>
        <v>0</v>
      </c>
      <c r="H22" s="71">
        <f>SUMIFS('CASH BOOK 2023'!$L:$L,'CASH BOOK 2023'!$C:$C,'CASHFLOW 2023'!H$1,'CASH BOOK 2023'!$E:$E,'CASHFLOW 2023'!$A22)</f>
        <v>0</v>
      </c>
      <c r="I22" s="71">
        <f>SUMIFS('CASH BOOK 2023'!$L:$L,'CASH BOOK 2023'!$C:$C,'CASHFLOW 2023'!I$1,'CASH BOOK 2023'!$E:$E,'CASHFLOW 2023'!$A22)</f>
        <v>0</v>
      </c>
      <c r="J22" s="71">
        <f>SUMIFS('CASH BOOK 2023'!$L:$L,'CASH BOOK 2023'!$C:$C,'CASHFLOW 2023'!J$1,'CASH BOOK 2023'!$E:$E,'CASHFLOW 2023'!$A22)</f>
        <v>0</v>
      </c>
      <c r="K22" s="71">
        <f>SUMIFS('CASH BOOK 2023'!$L:$L,'CASH BOOK 2023'!$C:$C,'CASHFLOW 2023'!K$1,'CASH BOOK 2023'!$E:$E,'CASHFLOW 2023'!$A22)</f>
        <v>0</v>
      </c>
      <c r="L22" s="71">
        <f>SUMIFS('CASH BOOK 2023'!$L:$L,'CASH BOOK 2023'!$C:$C,'CASHFLOW 2023'!L$1,'CASH BOOK 2023'!$E:$E,'CASHFLOW 2023'!$A22)</f>
        <v>0</v>
      </c>
      <c r="M22" s="71">
        <f>SUMIFS('CASH BOOK 2023'!$L:$L,'CASH BOOK 2023'!$C:$C,'CASHFLOW 2023'!M$1,'CASH BOOK 2023'!$E:$E,'CASHFLOW 2023'!$A22)</f>
        <v>0</v>
      </c>
      <c r="N22" s="71">
        <f>SUMIFS('CASH BOOK 2023'!$L:$L,'CASH BOOK 2023'!$C:$C,'CASHFLOW 2023'!N$1,'CASH BOOK 2023'!$E:$E,'CASHFLOW 2023'!$A22)</f>
        <v>0</v>
      </c>
      <c r="O22" s="71">
        <f>SUMIFS('CASH BOOK 2023'!$L:$L,'CASH BOOK 2023'!$C:$C,'CASHFLOW 2023'!O$1,'CASH BOOK 2023'!$E:$E,'CASHFLOW 2023'!$A22)</f>
        <v>0</v>
      </c>
      <c r="P22" s="69">
        <f>SUM(D22:O22)</f>
        <v>-100</v>
      </c>
      <c r="Q22" s="70">
        <v>100</v>
      </c>
      <c r="T22" s="247"/>
    </row>
    <row r="23" spans="1:20" ht="15.5" x14ac:dyDescent="0.35">
      <c r="A23" s="9" t="s">
        <v>10</v>
      </c>
      <c r="C23" s="68"/>
      <c r="D23" s="71">
        <f>SUMIFS('CASH BOOK 2023'!$L:$L,'CASH BOOK 2023'!$C:$C,'CASHFLOW 2023'!D$1,'CASH BOOK 2023'!$E:$E,'CASHFLOW 2023'!$A23)</f>
        <v>0</v>
      </c>
      <c r="E23" s="71">
        <f>SUMIFS('CASH BOOK 2023'!$L:$L,'CASH BOOK 2023'!$C:$C,'CASHFLOW 2023'!E$1,'CASH BOOK 2023'!$E:$E,'CASHFLOW 2023'!$A23)</f>
        <v>0</v>
      </c>
      <c r="F23" s="71">
        <f>SUMIFS('CASH BOOK 2023'!$L:$L,'CASH BOOK 2023'!$C:$C,'CASHFLOW 2023'!F$1,'CASH BOOK 2023'!$E:$E,'CASHFLOW 2023'!$A23)</f>
        <v>-1183.48</v>
      </c>
      <c r="G23" s="71">
        <f>SUMIFS('CASH BOOK 2023'!$L:$L,'CASH BOOK 2023'!$C:$C,'CASHFLOW 2023'!G$1,'CASH BOOK 2023'!$E:$E,'CASHFLOW 2023'!$A23)</f>
        <v>-840</v>
      </c>
      <c r="H23" s="71">
        <f>SUMIFS('CASH BOOK 2023'!$L:$L,'CASH BOOK 2023'!$C:$C,'CASHFLOW 2023'!H$1,'CASH BOOK 2023'!$E:$E,'CASHFLOW 2023'!$A23)</f>
        <v>0</v>
      </c>
      <c r="I23" s="71">
        <f>SUMIFS('CASH BOOK 2023'!$L:$L,'CASH BOOK 2023'!$C:$C,'CASHFLOW 2023'!I$1,'CASH BOOK 2023'!$E:$E,'CASHFLOW 2023'!$A23)</f>
        <v>0</v>
      </c>
      <c r="J23" s="71">
        <f>SUMIFS('CASH BOOK 2023'!$L:$L,'CASH BOOK 2023'!$C:$C,'CASHFLOW 2023'!J$1,'CASH BOOK 2023'!$E:$E,'CASHFLOW 2023'!$A23)</f>
        <v>0</v>
      </c>
      <c r="K23" s="71">
        <f>SUMIFS('CASH BOOK 2023'!$L:$L,'CASH BOOK 2023'!$C:$C,'CASHFLOW 2023'!K$1,'CASH BOOK 2023'!$E:$E,'CASHFLOW 2023'!$A23)</f>
        <v>0</v>
      </c>
      <c r="L23" s="71">
        <f>SUMIFS('CASH BOOK 2023'!$L:$L,'CASH BOOK 2023'!$C:$C,'CASHFLOW 2023'!L$1,'CASH BOOK 2023'!$E:$E,'CASHFLOW 2023'!$A23)</f>
        <v>0</v>
      </c>
      <c r="M23" s="71">
        <f>SUMIFS('CASH BOOK 2023'!$L:$L,'CASH BOOK 2023'!$C:$C,'CASHFLOW 2023'!M$1,'CASH BOOK 2023'!$E:$E,'CASHFLOW 2023'!$A23)</f>
        <v>0</v>
      </c>
      <c r="N23" s="71">
        <f>SUMIFS('CASH BOOK 2023'!$L:$L,'CASH BOOK 2023'!$C:$C,'CASHFLOW 2023'!N$1,'CASH BOOK 2023'!$E:$E,'CASHFLOW 2023'!$A23)</f>
        <v>0</v>
      </c>
      <c r="O23" s="71">
        <f>SUMIFS('CASH BOOK 2023'!$L:$L,'CASH BOOK 2023'!$C:$C,'CASHFLOW 2023'!O$1,'CASH BOOK 2023'!$E:$E,'CASHFLOW 2023'!$A23)</f>
        <v>0</v>
      </c>
      <c r="P23" s="69">
        <f t="shared" si="3"/>
        <v>-2023.48</v>
      </c>
      <c r="Q23" s="70">
        <v>1100</v>
      </c>
      <c r="T23" s="247"/>
    </row>
    <row r="24" spans="1:20" ht="15.5" x14ac:dyDescent="0.35">
      <c r="A24" s="9" t="s">
        <v>11</v>
      </c>
      <c r="C24" s="68"/>
      <c r="D24" s="71">
        <f>SUMIFS('CASH BOOK 2023'!$L:$L,'CASH BOOK 2023'!$C:$C,'CASHFLOW 2023'!D$1,'CASH BOOK 2023'!$E:$E,'CASHFLOW 2023'!$A24)</f>
        <v>-153.32</v>
      </c>
      <c r="E24" s="71">
        <f>SUMIFS('CASH BOOK 2023'!$L:$L,'CASH BOOK 2023'!$C:$C,'CASHFLOW 2023'!E$1,'CASH BOOK 2023'!$E:$E,'CASHFLOW 2023'!$A24)</f>
        <v>-24.13</v>
      </c>
      <c r="F24" s="71">
        <f>SUMIFS('CASH BOOK 2023'!$L:$L,'CASH BOOK 2023'!$C:$C,'CASHFLOW 2023'!F$1,'CASH BOOK 2023'!$E:$E,'CASHFLOW 2023'!$A24)</f>
        <v>-24.13</v>
      </c>
      <c r="G24" s="71">
        <f>SUMIFS('CASH BOOK 2023'!$L:$L,'CASH BOOK 2023'!$C:$C,'CASHFLOW 2023'!G$1,'CASH BOOK 2023'!$E:$E,'CASHFLOW 2023'!$A24)</f>
        <v>-167.84</v>
      </c>
      <c r="H24" s="71">
        <f>SUMIFS('CASH BOOK 2023'!$L:$L,'CASH BOOK 2023'!$C:$C,'CASHFLOW 2023'!H$1,'CASH BOOK 2023'!$E:$E,'CASHFLOW 2023'!$A24)</f>
        <v>-24.13</v>
      </c>
      <c r="I24" s="71">
        <f>SUMIFS('CASH BOOK 2023'!$L:$L,'CASH BOOK 2023'!$C:$C,'CASHFLOW 2023'!I$1,'CASH BOOK 2023'!$E:$E,'CASHFLOW 2023'!$A24)</f>
        <v>-24.13</v>
      </c>
      <c r="J24" s="71">
        <f>SUMIFS('CASH BOOK 2023'!$L:$L,'CASH BOOK 2023'!$C:$C,'CASHFLOW 2023'!J$1,'CASH BOOK 2023'!$E:$E,'CASHFLOW 2023'!$A24)</f>
        <v>-181.76999999999998</v>
      </c>
      <c r="K24" s="71">
        <f>SUMIFS('CASH BOOK 2023'!$L:$L,'CASH BOOK 2023'!$C:$C,'CASHFLOW 2023'!K$1,'CASH BOOK 2023'!$E:$E,'CASHFLOW 2023'!$A24)</f>
        <v>0</v>
      </c>
      <c r="L24" s="71">
        <f>SUMIFS('CASH BOOK 2023'!$L:$L,'CASH BOOK 2023'!$C:$C,'CASHFLOW 2023'!L$1,'CASH BOOK 2023'!$E:$E,'CASHFLOW 2023'!$A24)</f>
        <v>0</v>
      </c>
      <c r="M24" s="71">
        <f>SUMIFS('CASH BOOK 2023'!$L:$L,'CASH BOOK 2023'!$C:$C,'CASHFLOW 2023'!M$1,'CASH BOOK 2023'!$E:$E,'CASHFLOW 2023'!$A24)</f>
        <v>0</v>
      </c>
      <c r="N24" s="71">
        <f>SUMIFS('CASH BOOK 2023'!$L:$L,'CASH BOOK 2023'!$C:$C,'CASHFLOW 2023'!N$1,'CASH BOOK 2023'!$E:$E,'CASHFLOW 2023'!$A24)</f>
        <v>0</v>
      </c>
      <c r="O24" s="71">
        <f>SUMIFS('CASH BOOK 2023'!$L:$L,'CASH BOOK 2023'!$C:$C,'CASHFLOW 2023'!O$1,'CASH BOOK 2023'!$E:$E,'CASHFLOW 2023'!$A24)</f>
        <v>0</v>
      </c>
      <c r="P24" s="69">
        <f t="shared" si="3"/>
        <v>-599.44999999999993</v>
      </c>
      <c r="Q24" s="70">
        <v>600</v>
      </c>
      <c r="T24" s="247"/>
    </row>
    <row r="25" spans="1:20" ht="15.5" x14ac:dyDescent="0.35">
      <c r="A25" s="9" t="s">
        <v>12</v>
      </c>
      <c r="C25" s="68"/>
      <c r="D25" s="71">
        <f>SUMIFS('CASH BOOK 2023'!$L:$L,'CASH BOOK 2023'!$C:$C,'CASHFLOW 2023'!D$1,'CASH BOOK 2023'!$E:$E,'CASHFLOW 2023'!$A25)</f>
        <v>-569.66</v>
      </c>
      <c r="E25" s="71">
        <f>SUMIFS('CASH BOOK 2023'!$L:$L,'CASH BOOK 2023'!$C:$C,'CASHFLOW 2023'!E$1,'CASH BOOK 2023'!$E:$E,'CASHFLOW 2023'!$A25)</f>
        <v>-567.4</v>
      </c>
      <c r="F25" s="71">
        <f>SUMIFS('CASH BOOK 2023'!$L:$L,'CASH BOOK 2023'!$C:$C,'CASHFLOW 2023'!F$1,'CASH BOOK 2023'!$E:$E,'CASHFLOW 2023'!$A25)</f>
        <v>-598.79999999999995</v>
      </c>
      <c r="G25" s="71">
        <f>SUMIFS('CASH BOOK 2023'!$L:$L,'CASH BOOK 2023'!$C:$C,'CASHFLOW 2023'!G$1,'CASH BOOK 2023'!$E:$E,'CASHFLOW 2023'!$A25)</f>
        <v>-636.4</v>
      </c>
      <c r="H25" s="71">
        <f>SUMIFS('CASH BOOK 2023'!$L:$L,'CASH BOOK 2023'!$C:$C,'CASHFLOW 2023'!H$1,'CASH BOOK 2023'!$E:$E,'CASHFLOW 2023'!$A25)</f>
        <v>-869.92000000000007</v>
      </c>
      <c r="I25" s="71">
        <f>SUMIFS('CASH BOOK 2023'!$L:$L,'CASH BOOK 2023'!$C:$C,'CASHFLOW 2023'!I$1,'CASH BOOK 2023'!$E:$E,'CASHFLOW 2023'!$A25)</f>
        <v>-613.66000000000008</v>
      </c>
      <c r="J25" s="71">
        <f>SUMIFS('CASH BOOK 2023'!$L:$L,'CASH BOOK 2023'!$C:$C,'CASHFLOW 2023'!J$1,'CASH BOOK 2023'!$E:$E,'CASHFLOW 2023'!$A25)</f>
        <v>-736.34</v>
      </c>
      <c r="K25" s="71">
        <f>SUMIFS('CASH BOOK 2023'!$L:$L,'CASH BOOK 2023'!$C:$C,'CASHFLOW 2023'!K$1,'CASH BOOK 2023'!$E:$E,'CASHFLOW 2023'!$A25)</f>
        <v>-169.48000000000002</v>
      </c>
      <c r="L25" s="71">
        <f>SUMIFS('CASH BOOK 2023'!$L:$L,'CASH BOOK 2023'!$C:$C,'CASHFLOW 2023'!L$1,'CASH BOOK 2023'!$E:$E,'CASHFLOW 2023'!$A25)</f>
        <v>0</v>
      </c>
      <c r="M25" s="71">
        <f>SUMIFS('CASH BOOK 2023'!$L:$L,'CASH BOOK 2023'!$C:$C,'CASHFLOW 2023'!M$1,'CASH BOOK 2023'!$E:$E,'CASHFLOW 2023'!$A25)</f>
        <v>0</v>
      </c>
      <c r="N25" s="71">
        <f>SUMIFS('CASH BOOK 2023'!$L:$L,'CASH BOOK 2023'!$C:$C,'CASHFLOW 2023'!N$1,'CASH BOOK 2023'!$E:$E,'CASHFLOW 2023'!$A25)</f>
        <v>0</v>
      </c>
      <c r="O25" s="71">
        <f>SUMIFS('CASH BOOK 2023'!$L:$L,'CASH BOOK 2023'!$C:$C,'CASHFLOW 2023'!O$1,'CASH BOOK 2023'!$E:$E,'CASHFLOW 2023'!$A25)</f>
        <v>0</v>
      </c>
      <c r="P25" s="69">
        <f t="shared" si="3"/>
        <v>-4761.66</v>
      </c>
      <c r="Q25" s="70">
        <v>4340</v>
      </c>
      <c r="T25" s="247"/>
    </row>
    <row r="26" spans="1:20" ht="15.5" x14ac:dyDescent="0.35">
      <c r="A26" s="9" t="s">
        <v>13</v>
      </c>
      <c r="C26" s="68"/>
      <c r="D26" s="71">
        <f>SUMIFS('CASH BOOK 2023'!$L:$L,'CASH BOOK 2023'!$C:$C,'CASHFLOW 2023'!D$1,'CASH BOOK 2023'!$E:$E,'CASHFLOW 2023'!$A26)</f>
        <v>0</v>
      </c>
      <c r="E26" s="71">
        <f>SUMIFS('CASH BOOK 2023'!$L:$L,'CASH BOOK 2023'!$C:$C,'CASHFLOW 2023'!E$1,'CASH BOOK 2023'!$E:$E,'CASHFLOW 2023'!$A26)</f>
        <v>0</v>
      </c>
      <c r="F26" s="71">
        <f>SUMIFS('CASH BOOK 2023'!$L:$L,'CASH BOOK 2023'!$C:$C,'CASHFLOW 2023'!F$1,'CASH BOOK 2023'!$E:$E,'CASHFLOW 2023'!$A26)</f>
        <v>-50</v>
      </c>
      <c r="G26" s="71">
        <f>SUMIFS('CASH BOOK 2023'!$L:$L,'CASH BOOK 2023'!$C:$C,'CASHFLOW 2023'!G$1,'CASH BOOK 2023'!$E:$E,'CASHFLOW 2023'!$A26)</f>
        <v>0</v>
      </c>
      <c r="H26" s="71">
        <f>SUMIFS('CASH BOOK 2023'!$L:$L,'CASH BOOK 2023'!$C:$C,'CASHFLOW 2023'!H$1,'CASH BOOK 2023'!$E:$E,'CASHFLOW 2023'!$A26)</f>
        <v>-35</v>
      </c>
      <c r="I26" s="71">
        <f>SUMIFS('CASH BOOK 2023'!$L:$L,'CASH BOOK 2023'!$C:$C,'CASHFLOW 2023'!I$1,'CASH BOOK 2023'!$E:$E,'CASHFLOW 2023'!$A26)</f>
        <v>-50</v>
      </c>
      <c r="J26" s="71">
        <f>SUMIFS('CASH BOOK 2023'!$L:$L,'CASH BOOK 2023'!$C:$C,'CASHFLOW 2023'!J$1,'CASH BOOK 2023'!$E:$E,'CASHFLOW 2023'!$A26)</f>
        <v>-607.58000000000004</v>
      </c>
      <c r="K26" s="71">
        <f>SUMIFS('CASH BOOK 2023'!$L:$L,'CASH BOOK 2023'!$C:$C,'CASHFLOW 2023'!K$1,'CASH BOOK 2023'!$E:$E,'CASHFLOW 2023'!$A26)</f>
        <v>0</v>
      </c>
      <c r="L26" s="71">
        <f>SUMIFS('CASH BOOK 2023'!$L:$L,'CASH BOOK 2023'!$C:$C,'CASHFLOW 2023'!L$1,'CASH BOOK 2023'!$E:$E,'CASHFLOW 2023'!$A26)</f>
        <v>0</v>
      </c>
      <c r="M26" s="71">
        <f>SUMIFS('CASH BOOK 2023'!$L:$L,'CASH BOOK 2023'!$C:$C,'CASHFLOW 2023'!M$1,'CASH BOOK 2023'!$E:$E,'CASHFLOW 2023'!$A26)</f>
        <v>0</v>
      </c>
      <c r="N26" s="71">
        <f>SUMIFS('CASH BOOK 2023'!$L:$L,'CASH BOOK 2023'!$C:$C,'CASHFLOW 2023'!N$1,'CASH BOOK 2023'!$E:$E,'CASHFLOW 2023'!$A26)</f>
        <v>0</v>
      </c>
      <c r="O26" s="71">
        <f>SUMIFS('CASH BOOK 2023'!$L:$L,'CASH BOOK 2023'!$C:$C,'CASHFLOW 2023'!O$1,'CASH BOOK 2023'!$E:$E,'CASHFLOW 2023'!$A26)</f>
        <v>0</v>
      </c>
      <c r="P26" s="69">
        <f t="shared" si="3"/>
        <v>-742.58</v>
      </c>
      <c r="Q26" s="70">
        <v>1300</v>
      </c>
      <c r="T26" s="247"/>
    </row>
    <row r="27" spans="1:20" ht="15.5" x14ac:dyDescent="0.35">
      <c r="A27" s="9" t="s">
        <v>468</v>
      </c>
      <c r="C27" s="68"/>
      <c r="D27" s="71">
        <f>SUMIFS('CASH BOOK 2023'!$L:$L,'CASH BOOK 2023'!$C:$C,'CASHFLOW 2023'!D$1,'CASH BOOK 2023'!$E:$E,'CASHFLOW 2023'!$A27)</f>
        <v>0</v>
      </c>
      <c r="E27" s="71">
        <f>SUMIFS('CASH BOOK 2023'!$L:$L,'CASH BOOK 2023'!$C:$C,'CASHFLOW 2023'!E$1,'CASH BOOK 2023'!$E:$E,'CASHFLOW 2023'!$A27)</f>
        <v>0</v>
      </c>
      <c r="F27" s="71">
        <f>SUMIFS('CASH BOOK 2023'!$L:$L,'CASH BOOK 2023'!$C:$C,'CASHFLOW 2023'!F$1,'CASH BOOK 2023'!$E:$E,'CASHFLOW 2023'!$A27)</f>
        <v>0</v>
      </c>
      <c r="G27" s="71">
        <f>SUMIFS('CASH BOOK 2023'!$L:$L,'CASH BOOK 2023'!$C:$C,'CASHFLOW 2023'!G$1,'CASH BOOK 2023'!$E:$E,'CASHFLOW 2023'!$A27)</f>
        <v>0</v>
      </c>
      <c r="H27" s="71">
        <f>SUMIFS('CASH BOOK 2023'!$L:$L,'CASH BOOK 2023'!$C:$C,'CASHFLOW 2023'!H$1,'CASH BOOK 2023'!$E:$E,'CASHFLOW 2023'!$A27)</f>
        <v>0</v>
      </c>
      <c r="I27" s="71">
        <f>SUMIFS('CASH BOOK 2023'!$L:$L,'CASH BOOK 2023'!$C:$C,'CASHFLOW 2023'!I$1,'CASH BOOK 2023'!$E:$E,'CASHFLOW 2023'!$A27)</f>
        <v>0</v>
      </c>
      <c r="J27" s="71">
        <f>SUMIFS('CASH BOOK 2023'!$L:$L,'CASH BOOK 2023'!$C:$C,'CASHFLOW 2023'!J$1,'CASH BOOK 2023'!$E:$E,'CASHFLOW 2023'!$A27)</f>
        <v>0</v>
      </c>
      <c r="K27" s="71">
        <f>SUMIFS('CASH BOOK 2023'!$L:$L,'CASH BOOK 2023'!$C:$C,'CASHFLOW 2023'!K$1,'CASH BOOK 2023'!$E:$E,'CASHFLOW 2023'!$A27)</f>
        <v>0</v>
      </c>
      <c r="L27" s="71">
        <f>SUMIFS('CASH BOOK 2023'!$L:$L,'CASH BOOK 2023'!$C:$C,'CASHFLOW 2023'!L$1,'CASH BOOK 2023'!$E:$E,'CASHFLOW 2023'!$A27)</f>
        <v>0</v>
      </c>
      <c r="M27" s="71">
        <f>SUMIFS('CASH BOOK 2023'!$L:$L,'CASH BOOK 2023'!$C:$C,'CASHFLOW 2023'!M$1,'CASH BOOK 2023'!$E:$E,'CASHFLOW 2023'!$A27)</f>
        <v>0</v>
      </c>
      <c r="N27" s="71">
        <f>SUMIFS('CASH BOOK 2023'!$L:$L,'CASH BOOK 2023'!$C:$C,'CASHFLOW 2023'!N$1,'CASH BOOK 2023'!$E:$E,'CASHFLOW 2023'!$A27)</f>
        <v>0</v>
      </c>
      <c r="O27" s="71">
        <f>SUMIFS('CASH BOOK 2023'!$L:$L,'CASH BOOK 2023'!$C:$C,'CASHFLOW 2023'!O$1,'CASH BOOK 2023'!$E:$E,'CASHFLOW 2023'!$A27)</f>
        <v>0</v>
      </c>
      <c r="P27" s="69">
        <f t="shared" si="3"/>
        <v>0</v>
      </c>
      <c r="Q27" s="70">
        <v>150</v>
      </c>
      <c r="T27" s="247"/>
    </row>
    <row r="28" spans="1:20" ht="15.5" x14ac:dyDescent="0.35">
      <c r="A28" s="9" t="s">
        <v>621</v>
      </c>
      <c r="C28" s="68"/>
      <c r="D28" s="71">
        <f>SUMIFS('CASH BOOK 2023'!$L:$L,'CASH BOOK 2023'!$C:$C,'CASHFLOW 2023'!D$1,'CASH BOOK 2023'!$E:$E,'CASHFLOW 2023'!$A28)</f>
        <v>-209.8</v>
      </c>
      <c r="E28" s="71">
        <f>SUMIFS('CASH BOOK 2023'!$L:$L,'CASH BOOK 2023'!$C:$C,'CASHFLOW 2023'!E$1,'CASH BOOK 2023'!$E:$E,'CASHFLOW 2023'!$A28)</f>
        <v>-10</v>
      </c>
      <c r="F28" s="71">
        <f>SUMIFS('CASH BOOK 2023'!$L:$L,'CASH BOOK 2023'!$C:$C,'CASHFLOW 2023'!F$1,'CASH BOOK 2023'!$E:$E,'CASHFLOW 2023'!$A28)</f>
        <v>-38</v>
      </c>
      <c r="G28" s="71">
        <f>SUMIFS('CASH BOOK 2023'!$L:$L,'CASH BOOK 2023'!$C:$C,'CASHFLOW 2023'!G$1,'CASH BOOK 2023'!$E:$E,'CASHFLOW 2023'!$A28)</f>
        <v>-10</v>
      </c>
      <c r="H28" s="71">
        <f>SUMIFS('CASH BOOK 2023'!$L:$L,'CASH BOOK 2023'!$C:$C,'CASHFLOW 2023'!H$1,'CASH BOOK 2023'!$E:$E,'CASHFLOW 2023'!$A28)</f>
        <v>-250</v>
      </c>
      <c r="I28" s="71">
        <f>SUMIFS('CASH BOOK 2023'!$L:$L,'CASH BOOK 2023'!$C:$C,'CASHFLOW 2023'!I$1,'CASH BOOK 2023'!$E:$E,'CASHFLOW 2023'!$A28)</f>
        <v>-40</v>
      </c>
      <c r="J28" s="71">
        <f>SUMIFS('CASH BOOK 2023'!$L:$L,'CASH BOOK 2023'!$C:$C,'CASHFLOW 2023'!J$1,'CASH BOOK 2023'!$E:$E,'CASHFLOW 2023'!$A28)</f>
        <v>-6</v>
      </c>
      <c r="K28" s="71">
        <f>SUMIFS('CASH BOOK 2023'!$L:$L,'CASH BOOK 2023'!$C:$C,'CASHFLOW 2023'!K$1,'CASH BOOK 2023'!$E:$E,'CASHFLOW 2023'!$A28)</f>
        <v>-47</v>
      </c>
      <c r="L28" s="71">
        <f>SUMIFS('CASH BOOK 2023'!$L:$L,'CASH BOOK 2023'!$C:$C,'CASHFLOW 2023'!L$1,'CASH BOOK 2023'!$E:$E,'CASHFLOW 2023'!$A28)</f>
        <v>0</v>
      </c>
      <c r="M28" s="71">
        <f>SUMIFS('CASH BOOK 2023'!$L:$L,'CASH BOOK 2023'!$C:$C,'CASHFLOW 2023'!M$1,'CASH BOOK 2023'!$E:$E,'CASHFLOW 2023'!$A28)</f>
        <v>0</v>
      </c>
      <c r="N28" s="71">
        <f>SUMIFS('CASH BOOK 2023'!$L:$L,'CASH BOOK 2023'!$C:$C,'CASHFLOW 2023'!N$1,'CASH BOOK 2023'!$E:$E,'CASHFLOW 2023'!$A28)</f>
        <v>0</v>
      </c>
      <c r="O28" s="71">
        <f>SUMIFS('CASH BOOK 2023'!$L:$L,'CASH BOOK 2023'!$C:$C,'CASHFLOW 2023'!O$1,'CASH BOOK 2023'!$E:$E,'CASHFLOW 2023'!$A28)</f>
        <v>0</v>
      </c>
      <c r="P28" s="69">
        <f t="shared" si="3"/>
        <v>-610.79999999999995</v>
      </c>
      <c r="Q28" s="70">
        <v>500</v>
      </c>
      <c r="T28" s="247"/>
    </row>
    <row r="29" spans="1:20" ht="15.5" x14ac:dyDescent="0.35">
      <c r="A29" s="9" t="s">
        <v>1332</v>
      </c>
      <c r="C29" s="68"/>
      <c r="D29" s="71">
        <f>SUMIFS('CASH BOOK 2023'!$L:$L,'CASH BOOK 2023'!$C:$C,'CASHFLOW 2023'!D$1,'CASH BOOK 2023'!$E:$E,'CASHFLOW 2023'!$A29)</f>
        <v>0</v>
      </c>
      <c r="E29" s="71">
        <f>SUMIFS('CASH BOOK 2023'!$L:$L,'CASH BOOK 2023'!$C:$C,'CASHFLOW 2023'!E$1,'CASH BOOK 2023'!$E:$E,'CASHFLOW 2023'!$A29)</f>
        <v>0</v>
      </c>
      <c r="F29" s="71">
        <f>SUMIFS('CASH BOOK 2023'!$L:$L,'CASH BOOK 2023'!$C:$C,'CASHFLOW 2023'!F$1,'CASH BOOK 2023'!$E:$E,'CASHFLOW 2023'!$A29)</f>
        <v>0</v>
      </c>
      <c r="G29" s="71">
        <f>SUMIFS('CASH BOOK 2023'!$L:$L,'CASH BOOK 2023'!$C:$C,'CASHFLOW 2023'!G$1,'CASH BOOK 2023'!$E:$E,'CASHFLOW 2023'!$A29)</f>
        <v>0</v>
      </c>
      <c r="H29" s="71">
        <f>SUMIFS('CASH BOOK 2023'!$L:$L,'CASH BOOK 2023'!$C:$C,'CASHFLOW 2023'!H$1,'CASH BOOK 2023'!$E:$E,'CASHFLOW 2023'!$A29)</f>
        <v>0</v>
      </c>
      <c r="I29" s="71">
        <f>SUMIFS('CASH BOOK 2023'!$L:$L,'CASH BOOK 2023'!$C:$C,'CASHFLOW 2023'!I$1,'CASH BOOK 2023'!$E:$E,'CASHFLOW 2023'!$A29)</f>
        <v>0</v>
      </c>
      <c r="J29" s="71">
        <f>SUMIFS('CASH BOOK 2023'!$L:$L,'CASH BOOK 2023'!$C:$C,'CASHFLOW 2023'!J$1,'CASH BOOK 2023'!$E:$E,'CASHFLOW 2023'!$A29)</f>
        <v>0</v>
      </c>
      <c r="K29" s="71">
        <f>SUMIFS('CASH BOOK 2023'!$L:$L,'CASH BOOK 2023'!$C:$C,'CASHFLOW 2023'!K$1,'CASH BOOK 2023'!$E:$E,'CASHFLOW 2023'!$A29)</f>
        <v>0</v>
      </c>
      <c r="L29" s="71">
        <f>SUMIFS('CASH BOOK 2023'!$L:$L,'CASH BOOK 2023'!$C:$C,'CASHFLOW 2023'!L$1,'CASH BOOK 2023'!$E:$E,'CASHFLOW 2023'!$A29)</f>
        <v>0</v>
      </c>
      <c r="M29" s="71">
        <f>SUMIFS('CASH BOOK 2023'!$L:$L,'CASH BOOK 2023'!$C:$C,'CASHFLOW 2023'!M$1,'CASH BOOK 2023'!$E:$E,'CASHFLOW 2023'!$A29)</f>
        <v>0</v>
      </c>
      <c r="N29" s="71">
        <f>SUMIFS('CASH BOOK 2023'!$L:$L,'CASH BOOK 2023'!$C:$C,'CASHFLOW 2023'!N$1,'CASH BOOK 2023'!$E:$E,'CASHFLOW 2023'!$A29)</f>
        <v>0</v>
      </c>
      <c r="O29" s="71">
        <f>SUMIFS('CASH BOOK 2023'!$L:$L,'CASH BOOK 2023'!$C:$C,'CASHFLOW 2023'!O$1,'CASH BOOK 2023'!$E:$E,'CASHFLOW 2023'!$A29)</f>
        <v>0</v>
      </c>
      <c r="P29" s="69">
        <f>SUM(D29:O29)</f>
        <v>0</v>
      </c>
      <c r="Q29" s="70"/>
      <c r="T29" s="247"/>
    </row>
    <row r="30" spans="1:20" ht="15.5" x14ac:dyDescent="0.35">
      <c r="C30" s="68"/>
      <c r="D30" s="71">
        <f>SUMIFS('CASH BOOK 2023'!$L:$L,'CASH BOOK 2023'!$C:$C,'CASHFLOW 2023'!D$1,'CASH BOOK 2023'!$E:$E,'CASHFLOW 2023'!$A30)</f>
        <v>0</v>
      </c>
      <c r="E30" s="71">
        <f>SUMIFS('CASH BOOK 2023'!$L:$L,'CASH BOOK 2023'!$C:$C,'CASHFLOW 2023'!E$1,'CASH BOOK 2023'!$E:$E,'CASHFLOW 2023'!$A30)</f>
        <v>0</v>
      </c>
      <c r="F30" s="71">
        <f>SUMIFS('CASH BOOK 2023'!$L:$L,'CASH BOOK 2023'!$C:$C,'CASHFLOW 2023'!F$1,'CASH BOOK 2023'!$E:$E,'CASHFLOW 2023'!$A30)</f>
        <v>0</v>
      </c>
      <c r="G30" s="71">
        <f>SUMIFS('CASH BOOK 2023'!$L:$L,'CASH BOOK 2023'!$C:$C,'CASHFLOW 2023'!G$1,'CASH BOOK 2023'!$E:$E,'CASHFLOW 2023'!$A30)</f>
        <v>0</v>
      </c>
      <c r="H30" s="71">
        <f>SUMIFS('CASH BOOK 2023'!$L:$L,'CASH BOOK 2023'!$C:$C,'CASHFLOW 2023'!H$1,'CASH BOOK 2023'!$E:$E,'CASHFLOW 2023'!$A30)</f>
        <v>0</v>
      </c>
      <c r="I30" s="71">
        <f>SUMIFS('CASH BOOK 2023'!$L:$L,'CASH BOOK 2023'!$C:$C,'CASHFLOW 2023'!I$1,'CASH BOOK 2023'!$E:$E,'CASHFLOW 2023'!$A30)</f>
        <v>0</v>
      </c>
      <c r="J30" s="71">
        <f>SUMIFS('CASH BOOK 2023'!$L:$L,'CASH BOOK 2023'!$C:$C,'CASHFLOW 2023'!J$1,'CASH BOOK 2023'!$E:$E,'CASHFLOW 2023'!$A30)</f>
        <v>0</v>
      </c>
      <c r="K30" s="71">
        <f>SUMIFS('CASH BOOK 2023'!$L:$L,'CASH BOOK 2023'!$C:$C,'CASHFLOW 2023'!K$1,'CASH BOOK 2023'!$E:$E,'CASHFLOW 2023'!$A30)</f>
        <v>0</v>
      </c>
      <c r="L30" s="71">
        <f>SUMIFS('CASH BOOK 2023'!$L:$L,'CASH BOOK 2023'!$C:$C,'CASHFLOW 2023'!L$1,'CASH BOOK 2023'!$E:$E,'CASHFLOW 2023'!$A30)</f>
        <v>0</v>
      </c>
      <c r="M30" s="71">
        <f>SUMIFS('CASH BOOK 2023'!$L:$L,'CASH BOOK 2023'!$C:$C,'CASHFLOW 2023'!M$1,'CASH BOOK 2023'!$E:$E,'CASHFLOW 2023'!$A30)</f>
        <v>0</v>
      </c>
      <c r="N30" s="71">
        <f>SUMIFS('CASH BOOK 2023'!$L:$L,'CASH BOOK 2023'!$C:$C,'CASHFLOW 2023'!N$1,'CASH BOOK 2023'!$E:$E,'CASHFLOW 2023'!$A30)</f>
        <v>0</v>
      </c>
      <c r="O30" s="71">
        <f>SUMIFS('CASH BOOK 2023'!$L:$L,'CASH BOOK 2023'!$C:$C,'CASHFLOW 2023'!O$1,'CASH BOOK 2023'!$E:$E,'CASHFLOW 2023'!$A30)</f>
        <v>0</v>
      </c>
      <c r="P30" s="69">
        <f t="shared" si="3"/>
        <v>0</v>
      </c>
      <c r="Q30" s="70">
        <v>0</v>
      </c>
      <c r="T30" s="247"/>
    </row>
    <row r="31" spans="1:20" ht="15.5" x14ac:dyDescent="0.35">
      <c r="C31" s="68"/>
      <c r="D31" s="72">
        <f>SUM(D15:D30)</f>
        <v>-2008.3899999999996</v>
      </c>
      <c r="E31" s="72">
        <f>SUM(E15:E30)</f>
        <v>-1646.92</v>
      </c>
      <c r="F31" s="72">
        <f>SUM(F15:F30)</f>
        <v>-2602.8900000000003</v>
      </c>
      <c r="G31" s="72">
        <f>SUM(G15:G30)</f>
        <v>-2340.83</v>
      </c>
      <c r="H31" s="72">
        <f>SUM(H15:H30)</f>
        <v>-1847.3899999999999</v>
      </c>
      <c r="I31" s="72">
        <f t="shared" ref="I31:P31" si="4">SUM(I15:I30)</f>
        <v>-1080.6600000000001</v>
      </c>
      <c r="J31" s="72">
        <f t="shared" si="4"/>
        <v>-2001.1799999999998</v>
      </c>
      <c r="K31" s="72">
        <f t="shared" si="4"/>
        <v>-404.61</v>
      </c>
      <c r="L31" s="72">
        <f t="shared" si="4"/>
        <v>0</v>
      </c>
      <c r="M31" s="72">
        <f t="shared" si="4"/>
        <v>0</v>
      </c>
      <c r="N31" s="72">
        <f t="shared" si="4"/>
        <v>0</v>
      </c>
      <c r="O31" s="72">
        <f t="shared" si="4"/>
        <v>0</v>
      </c>
      <c r="P31" s="72">
        <f t="shared" si="4"/>
        <v>-13932.87</v>
      </c>
      <c r="Q31" s="73">
        <f>SUM(Q15:Q30)</f>
        <v>18630</v>
      </c>
      <c r="T31" s="247"/>
    </row>
    <row r="32" spans="1:20" ht="15.5" x14ac:dyDescent="0.3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  <c r="T32" s="247"/>
    </row>
    <row r="33" spans="1:20" s="80" customFormat="1" ht="15.5" x14ac:dyDescent="0.35">
      <c r="A33" s="80" t="s">
        <v>507</v>
      </c>
      <c r="C33" s="81"/>
      <c r="D33" s="81">
        <f>D13+D31</f>
        <v>4836.17</v>
      </c>
      <c r="E33" s="81">
        <f t="shared" ref="E33:P33" si="5">E13+E31</f>
        <v>-241.7800000000002</v>
      </c>
      <c r="F33" s="81">
        <f t="shared" si="5"/>
        <v>2069.3099999999995</v>
      </c>
      <c r="G33" s="81">
        <f t="shared" si="5"/>
        <v>2185.7700000000004</v>
      </c>
      <c r="H33" s="81">
        <f t="shared" si="5"/>
        <v>-92.7199999999998</v>
      </c>
      <c r="I33" s="81">
        <f t="shared" si="5"/>
        <v>-241.55000000000018</v>
      </c>
      <c r="J33" s="81">
        <f t="shared" si="5"/>
        <v>-1606.0499999999997</v>
      </c>
      <c r="K33" s="81">
        <f t="shared" si="5"/>
        <v>-53.28000000000003</v>
      </c>
      <c r="L33" s="81">
        <f t="shared" si="5"/>
        <v>0</v>
      </c>
      <c r="M33" s="81">
        <f t="shared" si="5"/>
        <v>0</v>
      </c>
      <c r="N33" s="81">
        <f t="shared" si="5"/>
        <v>0</v>
      </c>
      <c r="O33" s="81">
        <f t="shared" si="5"/>
        <v>0</v>
      </c>
      <c r="P33" s="81">
        <f t="shared" si="5"/>
        <v>6855.8700000000008</v>
      </c>
      <c r="Q33" s="82">
        <f>Q13-Q31</f>
        <v>-4690</v>
      </c>
      <c r="T33" s="248"/>
    </row>
    <row r="34" spans="1:20" ht="15.5" x14ac:dyDescent="0.3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  <c r="T34" s="249"/>
    </row>
    <row r="35" spans="1:20" ht="16" thickBot="1" x14ac:dyDescent="0.4">
      <c r="T35" s="250"/>
    </row>
    <row r="36" spans="1:20" ht="13.5" thickTop="1" x14ac:dyDescent="0.35">
      <c r="A36" s="9" t="s">
        <v>499</v>
      </c>
      <c r="C36" s="68"/>
      <c r="D36" s="71">
        <f>SUMIFS('CASH BOOK 2023'!$L:$L,'CASH BOOK 2023'!$C:$C,'CASHFLOW 2023'!D$1,'CASH BOOK 2023'!$E:$E,'CASHFLOW 2023'!$A36)</f>
        <v>150</v>
      </c>
      <c r="E36" s="71">
        <f>SUMIFS('CASH BOOK 2023'!$L:$L,'CASH BOOK 2023'!$C:$C,'CASHFLOW 2023'!E$1,'CASH BOOK 2023'!$E:$E,'CASHFLOW 2023'!$A36)</f>
        <v>578</v>
      </c>
      <c r="F36" s="71">
        <f>SUMIFS('CASH BOOK 2023'!$L:$L,'CASH BOOK 2023'!$C:$C,'CASHFLOW 2023'!F$1,'CASH BOOK 2023'!$E:$E,'CASHFLOW 2023'!$A36)</f>
        <v>150</v>
      </c>
      <c r="G36" s="71">
        <f>SUMIFS('CASH BOOK 2023'!$L:$L,'CASH BOOK 2023'!$C:$C,'CASHFLOW 2023'!G$1,'CASH BOOK 2023'!$E:$E,'CASHFLOW 2023'!$A36)</f>
        <v>100</v>
      </c>
      <c r="H36" s="71">
        <f>SUMIFS('CASH BOOK 2023'!$L:$L,'CASH BOOK 2023'!$C:$C,'CASHFLOW 2023'!H$1,'CASH BOOK 2023'!$E:$E,'CASHFLOW 2023'!$A36)</f>
        <v>50</v>
      </c>
      <c r="I36" s="71">
        <f>SUMIFS('CASH BOOK 2023'!$L:$L,'CASH BOOK 2023'!$C:$C,'CASHFLOW 2023'!I$1,'CASH BOOK 2023'!$E:$E,'CASHFLOW 2023'!$A36)</f>
        <v>129</v>
      </c>
      <c r="J36" s="71">
        <f>SUMIFS('CASH BOOK 2023'!$L:$L,'CASH BOOK 2023'!$C:$C,'CASHFLOW 2023'!J$1,'CASH BOOK 2023'!$E:$E,'CASHFLOW 2023'!$A36)</f>
        <v>100</v>
      </c>
      <c r="K36" s="71">
        <f>SUMIFS('CASH BOOK 2023'!$L:$L,'CASH BOOK 2023'!$C:$C,'CASHFLOW 2023'!K$1,'CASH BOOK 2023'!$E:$E,'CASHFLOW 2023'!$A36)</f>
        <v>0</v>
      </c>
      <c r="L36" s="71">
        <f>SUMIFS('CASH BOOK 2023'!$L:$L,'CASH BOOK 2023'!$C:$C,'CASHFLOW 2023'!L$1,'CASH BOOK 2023'!$E:$E,'CASHFLOW 2023'!$A36)</f>
        <v>0</v>
      </c>
      <c r="M36" s="71">
        <f>SUMIFS('CASH BOOK 2023'!$L:$L,'CASH BOOK 2023'!$C:$C,'CASHFLOW 2023'!M$1,'CASH BOOK 2023'!$E:$E,'CASHFLOW 2023'!$A36)</f>
        <v>0</v>
      </c>
      <c r="N36" s="71">
        <f>SUMIFS('CASH BOOK 2023'!$L:$L,'CASH BOOK 2023'!$C:$C,'CASHFLOW 2023'!N$1,'CASH BOOK 2023'!$E:$E,'CASHFLOW 2023'!$A36)</f>
        <v>0</v>
      </c>
      <c r="O36" s="71">
        <f>SUMIFS('CASH BOOK 2023'!$L:$L,'CASH BOOK 2023'!$C:$C,'CASHFLOW 2023'!O$1,'CASH BOOK 2023'!$E:$E,'CASHFLOW 2023'!$A36)</f>
        <v>0</v>
      </c>
      <c r="P36" s="69">
        <f>SUM(D36:O36)</f>
        <v>1257</v>
      </c>
      <c r="Q36" s="70"/>
      <c r="R36" s="93" t="s">
        <v>522</v>
      </c>
      <c r="S36" s="94"/>
    </row>
    <row r="37" spans="1:20" x14ac:dyDescent="0.35">
      <c r="A37" s="9" t="s">
        <v>504</v>
      </c>
      <c r="C37" s="68"/>
      <c r="D37" s="71">
        <f>SUMIFS('CASH BOOK 2023'!$L:$L,'CASH BOOK 2023'!$C:$C,'CASHFLOW 2023'!D$1,'CASH BOOK 2023'!$E:$E,'CASHFLOW 2023'!$A37)</f>
        <v>-150</v>
      </c>
      <c r="E37" s="71">
        <f>SUMIFS('CASH BOOK 2023'!$L:$L,'CASH BOOK 2023'!$C:$C,'CASHFLOW 2023'!E$1,'CASH BOOK 2023'!$E:$E,'CASHFLOW 2023'!$A37)</f>
        <v>-79</v>
      </c>
      <c r="F37" s="71">
        <f>SUMIFS('CASH BOOK 2023'!$L:$L,'CASH BOOK 2023'!$C:$C,'CASHFLOW 2023'!F$1,'CASH BOOK 2023'!$E:$E,'CASHFLOW 2023'!$A37)</f>
        <v>-349</v>
      </c>
      <c r="G37" s="71">
        <f>SUMIFS('CASH BOOK 2023'!$L:$L,'CASH BOOK 2023'!$C:$C,'CASHFLOW 2023'!G$1,'CASH BOOK 2023'!$E:$E,'CASHFLOW 2023'!$A37)</f>
        <v>-150</v>
      </c>
      <c r="H37" s="71">
        <f>SUMIFS('CASH BOOK 2023'!$L:$L,'CASH BOOK 2023'!$C:$C,'CASHFLOW 2023'!H$1,'CASH BOOK 2023'!$E:$E,'CASHFLOW 2023'!$A37)</f>
        <v>-50</v>
      </c>
      <c r="I37" s="71">
        <f>SUMIFS('CASH BOOK 2023'!$L:$L,'CASH BOOK 2023'!$C:$C,'CASHFLOW 2023'!I$1,'CASH BOOK 2023'!$E:$E,'CASHFLOW 2023'!$A37)</f>
        <v>-50</v>
      </c>
      <c r="J37" s="71">
        <f>SUMIFS('CASH BOOK 2023'!$L:$L,'CASH BOOK 2023'!$C:$C,'CASHFLOW 2023'!J$1,'CASH BOOK 2023'!$E:$E,'CASHFLOW 2023'!$A37)</f>
        <v>-79</v>
      </c>
      <c r="K37" s="71">
        <f>SUMIFS('CASH BOOK 2023'!$L:$L,'CASH BOOK 2023'!$C:$C,'CASHFLOW 2023'!K$1,'CASH BOOK 2023'!$E:$E,'CASHFLOW 2023'!$A37)</f>
        <v>-250</v>
      </c>
      <c r="L37" s="71">
        <f>SUMIFS('CASH BOOK 2023'!$L:$L,'CASH BOOK 2023'!$C:$C,'CASHFLOW 2023'!L$1,'CASH BOOK 2023'!$E:$E,'CASHFLOW 2023'!$A37)</f>
        <v>0</v>
      </c>
      <c r="M37" s="71">
        <f>SUMIFS('CASH BOOK 2023'!$L:$L,'CASH BOOK 2023'!$C:$C,'CASHFLOW 2023'!M$1,'CASH BOOK 2023'!$E:$E,'CASHFLOW 2023'!$A37)</f>
        <v>0</v>
      </c>
      <c r="N37" s="71">
        <f>SUMIFS('CASH BOOK 2023'!$L:$L,'CASH BOOK 2023'!$C:$C,'CASHFLOW 2023'!N$1,'CASH BOOK 2023'!$E:$E,'CASHFLOW 2023'!$A37)</f>
        <v>0</v>
      </c>
      <c r="O37" s="71">
        <f>SUMIFS('CASH BOOK 2023'!$L:$L,'CASH BOOK 2023'!$C:$C,'CASHFLOW 2023'!O$1,'CASH BOOK 2023'!$E:$E,'CASHFLOW 2023'!$A37)</f>
        <v>0</v>
      </c>
      <c r="P37" s="69">
        <f>SUM(D37:O37)</f>
        <v>-1157</v>
      </c>
      <c r="Q37" s="70"/>
      <c r="R37" s="95"/>
      <c r="S37" s="96"/>
    </row>
    <row r="38" spans="1:20" s="80" customFormat="1" ht="13.5" thickBot="1" x14ac:dyDescent="0.4">
      <c r="A38" s="80" t="s">
        <v>506</v>
      </c>
      <c r="C38" s="119">
        <f>'CASHFLOW 2022'!R37</f>
        <v>650</v>
      </c>
      <c r="D38" s="90">
        <f>SUM(D36:D37)</f>
        <v>0</v>
      </c>
      <c r="E38" s="90">
        <f t="shared" ref="E38:P38" si="6">SUM(E36:E37)</f>
        <v>499</v>
      </c>
      <c r="F38" s="90">
        <f t="shared" si="6"/>
        <v>-199</v>
      </c>
      <c r="G38" s="90">
        <f t="shared" si="6"/>
        <v>-50</v>
      </c>
      <c r="H38" s="90">
        <f t="shared" si="6"/>
        <v>0</v>
      </c>
      <c r="I38" s="90">
        <f t="shared" si="6"/>
        <v>79</v>
      </c>
      <c r="J38" s="90">
        <f t="shared" si="6"/>
        <v>21</v>
      </c>
      <c r="K38" s="90">
        <f t="shared" si="6"/>
        <v>-250</v>
      </c>
      <c r="L38" s="90">
        <f t="shared" si="6"/>
        <v>0</v>
      </c>
      <c r="M38" s="90">
        <f t="shared" si="6"/>
        <v>0</v>
      </c>
      <c r="N38" s="90">
        <f t="shared" si="6"/>
        <v>0</v>
      </c>
      <c r="O38" s="90">
        <f t="shared" si="6"/>
        <v>0</v>
      </c>
      <c r="P38" s="90">
        <f t="shared" si="6"/>
        <v>100</v>
      </c>
      <c r="Q38" s="91"/>
      <c r="R38" s="97">
        <f>C38+P38</f>
        <v>750</v>
      </c>
      <c r="S38" s="98"/>
    </row>
    <row r="39" spans="1:20" ht="13.5" thickTop="1" x14ac:dyDescent="0.35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0"/>
    </row>
    <row r="40" spans="1:20" s="80" customFormat="1" x14ac:dyDescent="0.35">
      <c r="A40" s="80" t="s">
        <v>508</v>
      </c>
      <c r="C40" s="81">
        <f>'CASH BOOK 2022'!M370</f>
        <v>5786.4999999999882</v>
      </c>
      <c r="D40" s="84">
        <f>C40+D33+D38+SUMIF('CASH BOOK 2023'!E:E,'CASHFLOW 2023'!A41,'CASH BOOK 2023'!K:K)</f>
        <v>5622.6699999999873</v>
      </c>
      <c r="E40" s="84">
        <f>D40+E33+E38+SUMIF('CASH BOOK 2023'!F:F,'CASHFLOW 2023'!B41,'CASH BOOK 2023'!L:L)</f>
        <v>5879.8899999999867</v>
      </c>
      <c r="F40" s="84">
        <f>E40+F33+F38+SUMIF('CASH BOOK 2023'!G:G,'CASHFLOW 2023'!C41,'CASH BOOK 2023'!M:M)</f>
        <v>7750.1999999999862</v>
      </c>
      <c r="G40" s="84">
        <f>F40+G33+G38+SUMIF('CASH BOOK 2023'!H:H,'CASHFLOW 2023'!D41,'CASH BOOK 2023'!N:N)</f>
        <v>9885.9699999999866</v>
      </c>
      <c r="H40" s="84">
        <f>G40+H33+H38+SUMIF('CASH BOOK 2023'!I:I,'CASHFLOW 2023'!E41,'CASH BOOK 2023'!O:O)</f>
        <v>9793.2499999999873</v>
      </c>
      <c r="I40" s="84">
        <f>H40+I33+I38+SUMIF('CASH BOOK 2023'!J:J,'CASHFLOW 2023'!F41,'CASH BOOK 2023'!P:P)</f>
        <v>9630.6999999999862</v>
      </c>
      <c r="J40" s="84">
        <f>I40+J33+J38+SUMIF('CASH BOOK 2023'!K:K,'CASHFLOW 2023'!G41,'CASH BOOK 2023'!Q:Q)</f>
        <v>8045.6499999999869</v>
      </c>
      <c r="K40" s="84">
        <f>J40+K33+K38+SUMIF('CASH BOOK 2023'!L:L,'CASHFLOW 2023'!H41,'CASH BOOK 2023'!R:R)</f>
        <v>7742.3699999999872</v>
      </c>
      <c r="L40" s="84">
        <f>K40+L33+L38+SUMIF('CASH BOOK 2023'!M:M,'CASHFLOW 2023'!I41,'CASH BOOK 2023'!S:S)</f>
        <v>7742.3699999999872</v>
      </c>
      <c r="M40" s="84">
        <f>L40+M33+M38+SUMIF('CASH BOOK 2023'!N:N,'CASHFLOW 2023'!J41,'CASH BOOK 2023'!T:T)</f>
        <v>7742.3699999999872</v>
      </c>
      <c r="N40" s="84">
        <f>M40+N33+N38+SUMIF('CASH BOOK 2023'!O:O,'CASHFLOW 2023'!K41,'CASH BOOK 2023'!U:U)</f>
        <v>7742.3699999999872</v>
      </c>
      <c r="O40" s="84">
        <f>N40+O33+O38+SUMIF('CASH BOOK 2023'!P:P,'CASHFLOW 2023'!L41,'CASH BOOK 2023'!V:V)</f>
        <v>7742.3699999999872</v>
      </c>
      <c r="P40" s="84">
        <f>O40</f>
        <v>7742.3699999999872</v>
      </c>
      <c r="Q40" s="82"/>
    </row>
    <row r="41" spans="1:20" s="80" customFormat="1" x14ac:dyDescent="0.35">
      <c r="A41" s="80" t="s">
        <v>1331</v>
      </c>
      <c r="C41" s="81">
        <f>'CASHFLOW 2022'!P40+'CASHFLOW 2022'!P41</f>
        <v>40209.039999999994</v>
      </c>
      <c r="D41" s="71">
        <f>-SUMIFS('CASH BOOK 2023'!$L:$L,'CASH BOOK 2023'!$C:$C,'CASHFLOW 2023'!D$1,'CASH BOOK 2023'!$E:$E,'CASHFLOW 2023'!$A41)+C41</f>
        <v>45209.039999999994</v>
      </c>
      <c r="E41" s="71">
        <f>SUMIFS('CASH BOOK 2023'!$L:$L,'CASH BOOK 2023'!$C:$C,'CASHFLOW 2023'!E$1,'CASH BOOK 2023'!$E:$E,'CASHFLOW 2023'!$A41)+D41</f>
        <v>45209.039999999994</v>
      </c>
      <c r="F41" s="71">
        <f>SUMIFS('CASH BOOK 2023'!$L:$L,'CASH BOOK 2023'!$C:$C,'CASHFLOW 2023'!F$1,'CASH BOOK 2023'!$E:$E,'CASHFLOW 2023'!$A41)+E41</f>
        <v>45209.039999999994</v>
      </c>
      <c r="G41" s="71">
        <f>SUMIFS('CASH BOOK 2023'!$L:$L,'CASH BOOK 2023'!$C:$C,'CASHFLOW 2023'!G$1,'CASH BOOK 2023'!$E:$E,'CASHFLOW 2023'!$A41)+F41</f>
        <v>45209.039999999994</v>
      </c>
      <c r="H41" s="71">
        <f>SUMIFS('CASH BOOK 2023'!$L:$L,'CASH BOOK 2023'!$C:$C,'CASHFLOW 2023'!H$1,'CASH BOOK 2023'!$E:$E,'CASHFLOW 2023'!$A41)+G41</f>
        <v>45209.039999999994</v>
      </c>
      <c r="I41" s="71">
        <f>SUMIFS('CASH BOOK 2023'!$L:$L,'CASH BOOK 2023'!$C:$C,'CASHFLOW 2023'!I$1,'CASH BOOK 2023'!$E:$E,'CASHFLOW 2023'!$A41)+H41</f>
        <v>45209.039999999994</v>
      </c>
      <c r="J41" s="71">
        <f>SUMIFS('CASH BOOK 2023'!$L:$L,'CASH BOOK 2023'!$C:$C,'CASHFLOW 2023'!J$1,'CASH BOOK 2023'!$E:$E,'CASHFLOW 2023'!$A41)+I41</f>
        <v>45209.039999999994</v>
      </c>
      <c r="K41" s="71">
        <f>SUMIFS('CASH BOOK 2023'!$L:$L,'CASH BOOK 2023'!$C:$C,'CASHFLOW 2023'!K$1,'CASH BOOK 2023'!$E:$E,'CASHFLOW 2023'!$A41)+J41</f>
        <v>45209.039999999994</v>
      </c>
      <c r="L41" s="71">
        <f>SUMIFS('CASH BOOK 2023'!$L:$L,'CASH BOOK 2023'!$C:$C,'CASHFLOW 2023'!L$1,'CASH BOOK 2023'!$E:$E,'CASHFLOW 2023'!$A41)+K41</f>
        <v>45209.039999999994</v>
      </c>
      <c r="M41" s="71">
        <f>SUMIFS('CASH BOOK 2023'!$L:$L,'CASH BOOK 2023'!$C:$C,'CASHFLOW 2023'!M$1,'CASH BOOK 2023'!$E:$E,'CASHFLOW 2023'!$A41)+L41</f>
        <v>45209.039999999994</v>
      </c>
      <c r="N41" s="71">
        <f>SUMIFS('CASH BOOK 2023'!$L:$L,'CASH BOOK 2023'!$C:$C,'CASHFLOW 2023'!N$1,'CASH BOOK 2023'!$E:$E,'CASHFLOW 2023'!$A41)+M41</f>
        <v>45209.039999999994</v>
      </c>
      <c r="O41" s="71">
        <f>SUMIFS('CASH BOOK 2023'!$L:$L,'CASH BOOK 2023'!$C:$C,'CASHFLOW 2023'!O$1,'CASH BOOK 2023'!$E:$E,'CASHFLOW 2023'!$A41)+N41</f>
        <v>45209.039999999994</v>
      </c>
      <c r="P41" s="84">
        <f>O41</f>
        <v>45209.039999999994</v>
      </c>
      <c r="Q41" s="82"/>
    </row>
    <row r="42" spans="1:20" s="80" customFormat="1" x14ac:dyDescent="0.35">
      <c r="A42" s="80" t="s">
        <v>1399</v>
      </c>
      <c r="C42" s="81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90">
        <f>SUM(D42:O42)</f>
        <v>0</v>
      </c>
      <c r="Q42" s="82"/>
    </row>
    <row r="43" spans="1:20" x14ac:dyDescent="0.35">
      <c r="C43" s="68"/>
      <c r="D43" s="71">
        <f>SUMIFS('CASH BOOK 2017'!$K:$K,'CASH BOOK 2017'!$B:$B,'CASHFLOW 2023'!D$1,'CASH BOOK 2017'!$D:$D,'CASHFLOW 2023'!$A43)</f>
        <v>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92">
        <f>SUM(D43:O43)</f>
        <v>0</v>
      </c>
      <c r="Q43" s="70">
        <v>0</v>
      </c>
    </row>
    <row r="44" spans="1:20" x14ac:dyDescent="0.35">
      <c r="C44" s="68"/>
      <c r="D44" s="71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>
        <f>SUM(D44:O44)</f>
        <v>0</v>
      </c>
      <c r="Q44" s="70">
        <v>150</v>
      </c>
    </row>
    <row r="45" spans="1:20" s="80" customFormat="1" x14ac:dyDescent="0.35">
      <c r="A45" s="79" t="s">
        <v>509</v>
      </c>
      <c r="B45" s="79"/>
      <c r="C45" s="83"/>
      <c r="D45" s="83">
        <f>SUM(D43:D44)</f>
        <v>0</v>
      </c>
      <c r="E45" s="83">
        <f t="shared" ref="E45:P45" si="7">SUM(E43:E44)</f>
        <v>0</v>
      </c>
      <c r="F45" s="83">
        <f t="shared" si="7"/>
        <v>0</v>
      </c>
      <c r="G45" s="83">
        <f t="shared" si="7"/>
        <v>0</v>
      </c>
      <c r="H45" s="83">
        <f t="shared" si="7"/>
        <v>0</v>
      </c>
      <c r="I45" s="83">
        <f t="shared" si="7"/>
        <v>0</v>
      </c>
      <c r="J45" s="83">
        <f t="shared" si="7"/>
        <v>0</v>
      </c>
      <c r="K45" s="83">
        <f t="shared" si="7"/>
        <v>0</v>
      </c>
      <c r="L45" s="83">
        <f t="shared" si="7"/>
        <v>0</v>
      </c>
      <c r="M45" s="83">
        <f t="shared" si="7"/>
        <v>0</v>
      </c>
      <c r="N45" s="83">
        <f t="shared" si="7"/>
        <v>0</v>
      </c>
      <c r="O45" s="83">
        <f t="shared" si="7"/>
        <v>0</v>
      </c>
      <c r="P45" s="83">
        <f t="shared" si="7"/>
        <v>0</v>
      </c>
      <c r="Q45" s="82"/>
    </row>
    <row r="47" spans="1:20" x14ac:dyDescent="0.35">
      <c r="A47" s="9" t="s">
        <v>15</v>
      </c>
      <c r="C47" s="68">
        <f>'ACCOUNTS 21'!G48</f>
        <v>0</v>
      </c>
      <c r="D47" s="71">
        <f>C47+D45</f>
        <v>0</v>
      </c>
      <c r="E47" s="71">
        <f t="shared" ref="E47:O47" si="8">D47+E45</f>
        <v>0</v>
      </c>
      <c r="F47" s="71">
        <f t="shared" si="8"/>
        <v>0</v>
      </c>
      <c r="G47" s="71">
        <f t="shared" si="8"/>
        <v>0</v>
      </c>
      <c r="H47" s="71">
        <f t="shared" si="8"/>
        <v>0</v>
      </c>
      <c r="I47" s="71">
        <f t="shared" si="8"/>
        <v>0</v>
      </c>
      <c r="J47" s="71">
        <f t="shared" si="8"/>
        <v>0</v>
      </c>
      <c r="K47" s="71">
        <f t="shared" si="8"/>
        <v>0</v>
      </c>
      <c r="L47" s="71">
        <f t="shared" si="8"/>
        <v>0</v>
      </c>
      <c r="M47" s="71">
        <f t="shared" si="8"/>
        <v>0</v>
      </c>
      <c r="N47" s="71">
        <f t="shared" si="8"/>
        <v>0</v>
      </c>
      <c r="O47" s="71">
        <f t="shared" si="8"/>
        <v>0</v>
      </c>
      <c r="P47" s="71">
        <f>O47</f>
        <v>0</v>
      </c>
      <c r="Q47" s="70"/>
    </row>
    <row r="49" spans="1:17" s="85" customFormat="1" x14ac:dyDescent="0.35">
      <c r="A49" s="85" t="s">
        <v>510</v>
      </c>
      <c r="C49" s="86"/>
      <c r="D49" s="8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8"/>
      <c r="Q49" s="89"/>
    </row>
    <row r="50" spans="1:17" s="85" customFormat="1" x14ac:dyDescent="0.35">
      <c r="A50" s="85" t="s">
        <v>511</v>
      </c>
      <c r="C50" s="86"/>
      <c r="D50" s="8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8"/>
      <c r="Q50" s="89"/>
    </row>
    <row r="51" spans="1:17" x14ac:dyDescent="0.3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1:17" x14ac:dyDescent="0.35">
      <c r="C52" s="6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70"/>
    </row>
    <row r="53" spans="1:17" x14ac:dyDescent="0.3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/>
    </row>
    <row r="54" spans="1:17" x14ac:dyDescent="0.3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70"/>
    </row>
    <row r="55" spans="1:17" x14ac:dyDescent="0.3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70"/>
    </row>
    <row r="56" spans="1:17" x14ac:dyDescent="0.35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70"/>
    </row>
  </sheetData>
  <pageMargins left="0.74803149606299213" right="0.74803149606299213" top="0.98425196850393704" bottom="0.98425196850393704" header="0.51181102362204722" footer="0.51181102362204722"/>
  <pageSetup paperSize="9" scale="59" orientation="landscape"/>
  <headerFooter alignWithMargins="0">
    <oddHeader>&amp;L&amp;"Arial,Bold"Year ended 31 December 2017
&amp;C&amp;"Trebuchet MS,Bold"WILLASTON MEMORIAL HALL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6"/>
  <sheetViews>
    <sheetView showGridLines="0" tabSelected="1" topLeftCell="A50" zoomScaleNormal="100" workbookViewId="0">
      <selection activeCell="B73" sqref="B73"/>
    </sheetView>
  </sheetViews>
  <sheetFormatPr defaultColWidth="8.7265625" defaultRowHeight="12.5" outlineLevelRow="1" outlineLevelCol="1" x14ac:dyDescent="0.25"/>
  <cols>
    <col min="1" max="1" width="4.1796875" style="1" customWidth="1"/>
    <col min="2" max="2" width="37.1796875" bestFit="1" customWidth="1"/>
    <col min="3" max="3" width="8.7265625" style="1"/>
    <col min="4" max="4" width="11.453125" style="1" hidden="1" customWidth="1" outlineLevel="1"/>
    <col min="5" max="5" width="1.6328125" style="1" customWidth="1" collapsed="1"/>
    <col min="6" max="6" width="11.453125" style="1" hidden="1" customWidth="1" outlineLevel="1"/>
    <col min="7" max="7" width="1.6328125" style="1" customWidth="1" collapsed="1"/>
    <col min="8" max="8" width="13.1796875" style="1" bestFit="1" customWidth="1"/>
    <col min="9" max="9" width="1.6328125" style="1" customWidth="1" collapsed="1"/>
    <col min="10" max="10" width="13.1796875" style="1" bestFit="1" customWidth="1"/>
    <col min="11" max="11" width="1.6328125" style="1" customWidth="1" collapsed="1"/>
    <col min="12" max="12" width="12.6328125" style="1" customWidth="1"/>
    <col min="13" max="13" width="13.1796875" style="1" bestFit="1" customWidth="1"/>
    <col min="14" max="14" width="13.1796875" style="101" bestFit="1" customWidth="1"/>
    <col min="15" max="15" width="9.81640625" style="101" bestFit="1" customWidth="1"/>
    <col min="16" max="16" width="10.1796875" style="101" bestFit="1" customWidth="1"/>
    <col min="17" max="17" width="6.6328125" style="1" customWidth="1"/>
    <col min="18" max="18" width="6.6328125" style="21" customWidth="1"/>
    <col min="19" max="19" width="2.453125" style="21" customWidth="1"/>
    <col min="20" max="20" width="6.6328125" style="21" customWidth="1"/>
    <col min="21" max="16384" width="8.7265625" style="1"/>
  </cols>
  <sheetData>
    <row r="1" spans="1:26" ht="15.5" x14ac:dyDescent="0.35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99"/>
      <c r="O1" s="102"/>
      <c r="P1" s="99"/>
      <c r="Q1" s="6"/>
    </row>
    <row r="2" spans="1:26" ht="15.5" x14ac:dyDescent="0.35">
      <c r="A2" s="428" t="s">
        <v>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139"/>
      <c r="N2" s="99"/>
      <c r="O2" s="99"/>
      <c r="P2" s="99"/>
      <c r="Q2" s="6"/>
    </row>
    <row r="3" spans="1:26" ht="15.5" x14ac:dyDescent="0.35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99"/>
      <c r="O3" s="99"/>
      <c r="P3" s="99"/>
      <c r="Q3" s="6"/>
    </row>
    <row r="4" spans="1:26" ht="15.5" x14ac:dyDescent="0.35">
      <c r="A4" s="427" t="s">
        <v>2082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141"/>
      <c r="N4" s="351"/>
      <c r="O4" s="103"/>
      <c r="P4" s="99"/>
      <c r="Q4" s="6"/>
    </row>
    <row r="5" spans="1:26" ht="15.5" x14ac:dyDescent="0.35"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1"/>
      <c r="N5" s="351"/>
      <c r="O5" s="103"/>
      <c r="P5" s="99"/>
      <c r="Q5" s="6"/>
    </row>
    <row r="6" spans="1:26" ht="15.5" x14ac:dyDescent="0.35">
      <c r="B6" s="139"/>
      <c r="C6" s="139"/>
      <c r="D6" s="144"/>
      <c r="E6" s="139"/>
      <c r="F6" s="144"/>
      <c r="G6" s="139"/>
      <c r="H6" s="144"/>
      <c r="I6" s="139"/>
      <c r="J6" s="144"/>
      <c r="K6" s="139"/>
      <c r="L6" s="247"/>
      <c r="M6" s="141"/>
      <c r="N6" s="351"/>
      <c r="O6" s="103"/>
      <c r="P6" s="99"/>
    </row>
    <row r="7" spans="1:26" ht="31" x14ac:dyDescent="0.35">
      <c r="B7" s="146"/>
      <c r="C7" s="146"/>
      <c r="D7" s="147">
        <v>2016</v>
      </c>
      <c r="E7" s="139"/>
      <c r="F7" s="147">
        <v>2017</v>
      </c>
      <c r="G7" s="139"/>
      <c r="H7" s="393" t="s">
        <v>2005</v>
      </c>
      <c r="I7" s="139"/>
      <c r="J7" s="147">
        <v>2022</v>
      </c>
      <c r="K7" s="139"/>
      <c r="L7" s="247"/>
      <c r="M7" s="141"/>
      <c r="N7" s="351"/>
      <c r="O7" s="103"/>
      <c r="P7" s="99"/>
      <c r="W7" s="36"/>
    </row>
    <row r="8" spans="1:26" s="22" customFormat="1" ht="15.5" x14ac:dyDescent="0.35">
      <c r="A8" s="430" t="s">
        <v>1</v>
      </c>
      <c r="B8" s="431"/>
      <c r="C8" s="140"/>
      <c r="D8" s="149"/>
      <c r="E8" s="150"/>
      <c r="F8" s="149"/>
      <c r="G8" s="150"/>
      <c r="H8" s="149"/>
      <c r="I8" s="150"/>
      <c r="J8" s="149"/>
      <c r="K8" s="150"/>
      <c r="L8" s="319"/>
      <c r="M8" s="141"/>
      <c r="N8" s="351"/>
      <c r="O8" s="103"/>
      <c r="P8" s="99"/>
      <c r="W8" s="37"/>
    </row>
    <row r="9" spans="1:26" s="22" customFormat="1" ht="15.5" x14ac:dyDescent="0.35">
      <c r="B9" s="150"/>
      <c r="C9" s="140"/>
      <c r="D9" s="149"/>
      <c r="E9" s="150"/>
      <c r="F9" s="149"/>
      <c r="G9" s="150"/>
      <c r="H9" s="149"/>
      <c r="I9" s="150"/>
      <c r="J9" s="149"/>
      <c r="K9" s="150"/>
      <c r="L9" s="319"/>
      <c r="M9" s="141"/>
      <c r="N9" s="351"/>
      <c r="O9" s="103"/>
      <c r="P9" s="99"/>
      <c r="W9" s="37"/>
    </row>
    <row r="10" spans="1:26" ht="15.5" x14ac:dyDescent="0.35">
      <c r="B10" s="151" t="s">
        <v>2</v>
      </c>
      <c r="C10" s="151"/>
      <c r="D10" s="152">
        <v>12528.9</v>
      </c>
      <c r="E10" s="151"/>
      <c r="F10" s="152">
        <f>+'CASHFLOW 2017'!P3</f>
        <v>17898.53</v>
      </c>
      <c r="G10" s="151"/>
      <c r="H10" s="366">
        <f>'ACCOUNTS 21'!I10</f>
        <v>13686.109999999999</v>
      </c>
      <c r="I10" s="367"/>
      <c r="J10" s="366">
        <f>+'CASHFLOW 2022'!P3</f>
        <v>20844.260000000002</v>
      </c>
      <c r="K10" s="367"/>
      <c r="L10" s="368"/>
      <c r="M10" s="141"/>
      <c r="N10" s="351"/>
      <c r="O10" s="103"/>
      <c r="P10" s="99"/>
      <c r="W10" s="36"/>
    </row>
    <row r="11" spans="1:26" ht="15.5" x14ac:dyDescent="0.35">
      <c r="B11" s="151" t="s">
        <v>3</v>
      </c>
      <c r="C11" s="151"/>
      <c r="D11" s="144">
        <v>4960.3</v>
      </c>
      <c r="E11" s="151"/>
      <c r="F11" s="144">
        <f>+'CASHFLOW 2017'!P4</f>
        <v>5356.9</v>
      </c>
      <c r="G11" s="151"/>
      <c r="H11" s="366">
        <f>'ACCOUNTS 21'!I11</f>
        <v>4622</v>
      </c>
      <c r="I11" s="367"/>
      <c r="J11" s="366">
        <f>+'CASHFLOW 2022'!P4</f>
        <v>4472</v>
      </c>
      <c r="K11" s="367"/>
      <c r="L11" s="368"/>
      <c r="M11" s="141"/>
      <c r="N11" s="351"/>
      <c r="O11" s="103"/>
      <c r="P11" s="99"/>
      <c r="W11" s="36"/>
    </row>
    <row r="12" spans="1:26" ht="15.5" x14ac:dyDescent="0.35">
      <c r="B12" s="151" t="s">
        <v>620</v>
      </c>
      <c r="C12" s="151"/>
      <c r="D12" s="144">
        <f>3238.19-D15</f>
        <v>140</v>
      </c>
      <c r="E12" s="151"/>
      <c r="F12" s="144">
        <f>+'CASHFLOW 2017'!P5</f>
        <v>105</v>
      </c>
      <c r="G12" s="151"/>
      <c r="H12" s="366">
        <f>'ACCOUNTS 21'!I12</f>
        <v>0</v>
      </c>
      <c r="I12" s="367"/>
      <c r="J12" s="366">
        <f>+'CASHFLOW 2022'!P5</f>
        <v>80</v>
      </c>
      <c r="K12" s="367"/>
      <c r="L12" s="368"/>
      <c r="M12" s="141"/>
      <c r="N12" s="351"/>
      <c r="O12" s="103"/>
      <c r="P12" s="99"/>
      <c r="W12" s="36"/>
    </row>
    <row r="13" spans="1:26" ht="15.5" hidden="1" outlineLevel="1" x14ac:dyDescent="0.35">
      <c r="B13" s="153" t="s">
        <v>319</v>
      </c>
      <c r="C13" s="151"/>
      <c r="D13" s="144"/>
      <c r="E13" s="151"/>
      <c r="F13" s="144"/>
      <c r="G13" s="151"/>
      <c r="H13" s="366">
        <f>'ACCOUNTS 21'!I13</f>
        <v>0</v>
      </c>
      <c r="I13" s="367"/>
      <c r="J13" s="370"/>
      <c r="K13" s="367"/>
      <c r="L13" s="368"/>
      <c r="M13" s="141"/>
      <c r="N13" s="351"/>
      <c r="O13" s="103"/>
      <c r="P13" s="99"/>
      <c r="W13" s="38"/>
      <c r="X13" s="4"/>
      <c r="Y13" s="4"/>
      <c r="Z13" s="4"/>
    </row>
    <row r="14" spans="1:26" ht="15.5" hidden="1" outlineLevel="1" x14ac:dyDescent="0.35">
      <c r="B14" s="151" t="s">
        <v>434</v>
      </c>
      <c r="C14" s="151"/>
      <c r="D14" s="144">
        <v>0</v>
      </c>
      <c r="E14" s="151"/>
      <c r="F14" s="144">
        <f>'CASHFLOW 2017'!P6</f>
        <v>13221.12</v>
      </c>
      <c r="G14" s="151"/>
      <c r="H14" s="366">
        <f>'ACCOUNTS 21'!I14</f>
        <v>0</v>
      </c>
      <c r="I14" s="367"/>
      <c r="J14" s="366">
        <f>+'CASHFLOW 2020'!P6</f>
        <v>0</v>
      </c>
      <c r="K14" s="367"/>
      <c r="L14" s="368"/>
      <c r="M14" s="141"/>
      <c r="N14" s="351"/>
      <c r="O14" s="103"/>
      <c r="P14" s="99"/>
      <c r="W14" s="38"/>
      <c r="X14" s="4"/>
      <c r="Y14" s="4"/>
      <c r="Z14" s="4"/>
    </row>
    <row r="15" spans="1:26" ht="15.5" hidden="1" outlineLevel="1" x14ac:dyDescent="0.35">
      <c r="B15" s="151" t="s">
        <v>318</v>
      </c>
      <c r="C15" s="151"/>
      <c r="D15" s="144">
        <v>3098.19</v>
      </c>
      <c r="E15" s="151"/>
      <c r="F15" s="144">
        <f>'CASHFLOW 2017'!P7</f>
        <v>8580</v>
      </c>
      <c r="G15" s="151"/>
      <c r="H15" s="366">
        <f>'ACCOUNTS 21'!I15</f>
        <v>1000</v>
      </c>
      <c r="I15" s="367"/>
      <c r="J15" s="366">
        <f>+'CASHFLOW 2020'!P7</f>
        <v>1000</v>
      </c>
      <c r="K15" s="367"/>
      <c r="L15" s="368"/>
      <c r="M15" s="141"/>
      <c r="N15" s="351"/>
      <c r="O15" s="103"/>
      <c r="P15" s="99"/>
      <c r="W15" s="38"/>
      <c r="X15" s="4"/>
      <c r="Y15" s="4"/>
      <c r="Z15" s="4"/>
    </row>
    <row r="16" spans="1:26" ht="15.5" hidden="1" outlineLevel="1" x14ac:dyDescent="0.35">
      <c r="B16" s="151" t="s">
        <v>38</v>
      </c>
      <c r="C16" s="151"/>
      <c r="D16" s="144">
        <v>0</v>
      </c>
      <c r="E16" s="151"/>
      <c r="F16" s="144">
        <f>+'CASHFLOW 2017'!P9</f>
        <v>0</v>
      </c>
      <c r="G16" s="151"/>
      <c r="H16" s="366">
        <f>'ACCOUNTS 21'!I16</f>
        <v>0</v>
      </c>
      <c r="I16" s="367"/>
      <c r="J16" s="366">
        <f>+'CASHFLOW 2020'!P9</f>
        <v>0</v>
      </c>
      <c r="K16" s="367"/>
      <c r="L16" s="368"/>
      <c r="M16" s="141"/>
      <c r="N16" s="351"/>
      <c r="O16" s="103"/>
      <c r="P16" s="99"/>
      <c r="W16" s="36"/>
    </row>
    <row r="17" spans="1:23" s="13" customFormat="1" ht="15.5" collapsed="1" x14ac:dyDescent="0.35">
      <c r="B17" s="151" t="s">
        <v>4</v>
      </c>
      <c r="C17" s="151"/>
      <c r="D17" s="152">
        <v>602.89</v>
      </c>
      <c r="E17" s="151"/>
      <c r="F17" s="152">
        <f>+'CASHFLOW 2017'!P8+'CASHFLOW 2017'!P41</f>
        <v>153.78</v>
      </c>
      <c r="G17" s="151"/>
      <c r="H17" s="366">
        <f>'ACCOUNTS 21'!I17</f>
        <v>37.58</v>
      </c>
      <c r="I17" s="367"/>
      <c r="J17" s="366">
        <f>'CASHFLOW 2022'!P43+'CASHFLOW 2022'!P41</f>
        <v>112.7</v>
      </c>
      <c r="K17" s="367"/>
      <c r="L17" s="368"/>
      <c r="M17" s="141"/>
      <c r="N17" s="351"/>
      <c r="O17" s="103"/>
      <c r="P17" s="99"/>
      <c r="W17" s="36"/>
    </row>
    <row r="18" spans="1:23" s="13" customFormat="1" ht="15.5" x14ac:dyDescent="0.35">
      <c r="B18" s="151" t="s">
        <v>5</v>
      </c>
      <c r="C18" s="151"/>
      <c r="D18" s="144">
        <v>744.39</v>
      </c>
      <c r="E18" s="151"/>
      <c r="F18" s="144">
        <f>+'CASHFLOW 2017'!P11</f>
        <v>560.88</v>
      </c>
      <c r="G18" s="151"/>
      <c r="H18" s="366">
        <f>'ACCOUNTS 21'!I18</f>
        <v>0</v>
      </c>
      <c r="I18" s="367"/>
      <c r="J18" s="372">
        <f>+'CASHFLOW 2022'!P10</f>
        <v>0</v>
      </c>
      <c r="K18" s="367"/>
      <c r="L18" s="368"/>
      <c r="M18" s="141"/>
      <c r="N18" s="351"/>
      <c r="O18" s="103"/>
      <c r="P18" s="99"/>
      <c r="W18" s="36"/>
    </row>
    <row r="19" spans="1:23" ht="15.5" x14ac:dyDescent="0.35">
      <c r="B19" s="151" t="s">
        <v>1405</v>
      </c>
      <c r="H19" s="366">
        <f>'ACCOUNTS 21'!I19</f>
        <v>0</v>
      </c>
      <c r="I19" s="373"/>
      <c r="J19" s="374">
        <f>+'CASHFLOW 2022'!P7</f>
        <v>0</v>
      </c>
      <c r="K19" s="373"/>
      <c r="L19" s="375"/>
      <c r="M19" s="141"/>
      <c r="N19" s="351"/>
      <c r="O19" s="103"/>
      <c r="P19" s="99"/>
      <c r="W19" s="36"/>
    </row>
    <row r="20" spans="1:23" ht="15.5" x14ac:dyDescent="0.35">
      <c r="B20" s="151"/>
      <c r="C20" s="151"/>
      <c r="D20" s="154"/>
      <c r="E20" s="151"/>
      <c r="F20" s="154"/>
      <c r="G20" s="151"/>
      <c r="H20" s="376"/>
      <c r="I20" s="367"/>
      <c r="J20" s="376"/>
      <c r="K20" s="367"/>
      <c r="L20" s="368"/>
      <c r="M20" s="141"/>
      <c r="N20" s="351"/>
      <c r="O20" s="103"/>
      <c r="P20" s="99"/>
      <c r="W20" s="36"/>
    </row>
    <row r="21" spans="1:23" ht="15.5" x14ac:dyDescent="0.35">
      <c r="B21" s="151"/>
      <c r="C21" s="151"/>
      <c r="D21" s="155">
        <f>SUM(D10:D18)</f>
        <v>22074.67</v>
      </c>
      <c r="E21" s="151"/>
      <c r="F21" s="155">
        <f>SUM(F10:F18)</f>
        <v>45876.21</v>
      </c>
      <c r="G21" s="151"/>
      <c r="H21" s="377">
        <f>+H10+H11+H12+H17+H18+H19</f>
        <v>18345.690000000002</v>
      </c>
      <c r="I21" s="367"/>
      <c r="J21" s="377">
        <f>+J10+J11+J12+J17+J18+J19</f>
        <v>25508.960000000003</v>
      </c>
      <c r="K21" s="367"/>
      <c r="L21" s="368"/>
      <c r="M21" s="141"/>
      <c r="N21" s="351"/>
      <c r="O21" s="103"/>
      <c r="P21" s="99"/>
      <c r="W21" s="36"/>
    </row>
    <row r="22" spans="1:23" ht="15.5" x14ac:dyDescent="0.35">
      <c r="A22" s="429" t="s">
        <v>6</v>
      </c>
      <c r="B22" s="431"/>
      <c r="C22" s="151"/>
      <c r="D22" s="144"/>
      <c r="E22" s="151"/>
      <c r="F22" s="144"/>
      <c r="G22" s="151"/>
      <c r="H22" s="370"/>
      <c r="I22" s="367"/>
      <c r="J22" s="370"/>
      <c r="K22" s="367"/>
      <c r="L22" s="368"/>
      <c r="M22" s="141"/>
      <c r="N22" s="351"/>
      <c r="O22" s="103"/>
      <c r="P22" s="99"/>
      <c r="W22" s="36"/>
    </row>
    <row r="23" spans="1:23" ht="15.5" x14ac:dyDescent="0.35">
      <c r="B23" s="150"/>
      <c r="C23" s="151"/>
      <c r="D23" s="144"/>
      <c r="E23" s="151"/>
      <c r="F23" s="144"/>
      <c r="G23" s="151"/>
      <c r="H23" s="370"/>
      <c r="I23" s="367"/>
      <c r="J23" s="370"/>
      <c r="K23" s="367"/>
      <c r="L23" s="368"/>
      <c r="M23" s="141"/>
      <c r="N23" s="351"/>
      <c r="O23" s="103"/>
      <c r="P23" s="99"/>
      <c r="W23" s="36"/>
    </row>
    <row r="24" spans="1:23" ht="15.5" x14ac:dyDescent="0.35">
      <c r="B24" s="139" t="s">
        <v>7</v>
      </c>
      <c r="C24" s="151"/>
      <c r="D24" s="144">
        <v>-1814.23</v>
      </c>
      <c r="E24" s="151"/>
      <c r="F24" s="144">
        <f>+'CASHFLOW 2017'!P14</f>
        <v>-370.68</v>
      </c>
      <c r="G24" s="151"/>
      <c r="H24" s="366">
        <f>'ACCOUNTS 21'!I24</f>
        <v>-5124.3599999999997</v>
      </c>
      <c r="I24" s="367"/>
      <c r="J24" s="366">
        <f>+'CASHFLOW 2022'!P14</f>
        <v>-7444.16</v>
      </c>
      <c r="K24" s="367"/>
      <c r="L24" s="368"/>
      <c r="M24" s="141"/>
      <c r="N24" s="351"/>
      <c r="O24" s="103"/>
      <c r="P24" s="99"/>
      <c r="W24" s="36"/>
    </row>
    <row r="25" spans="1:23" ht="15.5" hidden="1" outlineLevel="1" x14ac:dyDescent="0.35">
      <c r="B25" s="139" t="s">
        <v>417</v>
      </c>
      <c r="C25" s="151"/>
      <c r="D25" s="144">
        <v>-26687.279999999999</v>
      </c>
      <c r="E25" s="151"/>
      <c r="F25" s="144">
        <f>'CASHFLOW 2017'!P15</f>
        <v>-4554.63</v>
      </c>
      <c r="G25" s="151"/>
      <c r="H25" s="366">
        <f>'ACCOUNTS 21'!I25</f>
        <v>0</v>
      </c>
      <c r="I25" s="367"/>
      <c r="J25" s="366">
        <f>+'CASHFLOW 2020'!P15</f>
        <v>0</v>
      </c>
      <c r="K25" s="367"/>
      <c r="L25" s="368"/>
      <c r="M25" s="141"/>
      <c r="N25" s="351"/>
      <c r="O25" s="103"/>
      <c r="P25" s="99"/>
      <c r="W25" s="36"/>
    </row>
    <row r="26" spans="1:23" ht="15.5" hidden="1" outlineLevel="1" x14ac:dyDescent="0.35">
      <c r="B26" s="156" t="s">
        <v>74</v>
      </c>
      <c r="C26" s="151"/>
      <c r="D26" s="144">
        <v>-3244.97</v>
      </c>
      <c r="E26" s="143"/>
      <c r="F26" s="144">
        <f>+'CASHFLOW 2017'!P16</f>
        <v>0</v>
      </c>
      <c r="G26" s="143"/>
      <c r="H26" s="366">
        <f>'ACCOUNTS 21'!I26</f>
        <v>0</v>
      </c>
      <c r="I26" s="379"/>
      <c r="J26" s="366">
        <f>+'CASHFLOW 2020'!P16</f>
        <v>0</v>
      </c>
      <c r="K26" s="379"/>
      <c r="L26" s="368"/>
      <c r="M26" s="141"/>
      <c r="N26" s="351"/>
      <c r="O26" s="103"/>
      <c r="P26" s="99"/>
      <c r="W26" s="36"/>
    </row>
    <row r="27" spans="1:23" ht="15.5" hidden="1" outlineLevel="1" x14ac:dyDescent="0.35">
      <c r="B27" s="156" t="s">
        <v>525</v>
      </c>
      <c r="C27" s="151"/>
      <c r="D27" s="144">
        <v>0</v>
      </c>
      <c r="E27" s="143"/>
      <c r="F27" s="144">
        <f>'CASHFLOW 2017'!P17</f>
        <v>-28428.58</v>
      </c>
      <c r="G27" s="143"/>
      <c r="H27" s="366">
        <f>'ACCOUNTS 21'!I27</f>
        <v>0</v>
      </c>
      <c r="I27" s="379"/>
      <c r="J27" s="366">
        <f>+'CASHFLOW 2020'!P17</f>
        <v>0</v>
      </c>
      <c r="K27" s="379"/>
      <c r="L27" s="368"/>
      <c r="M27" s="141"/>
      <c r="N27" s="351"/>
      <c r="O27" s="103"/>
      <c r="P27" s="99"/>
      <c r="W27" s="36"/>
    </row>
    <row r="28" spans="1:23" ht="15.5" collapsed="1" x14ac:dyDescent="0.35">
      <c r="B28" s="139" t="s">
        <v>8</v>
      </c>
      <c r="C28" s="151"/>
      <c r="D28" s="144">
        <v>-1790.06</v>
      </c>
      <c r="E28" s="151"/>
      <c r="F28" s="144">
        <f>+'CASHFLOW 2017'!P18</f>
        <v>-1733.3700000000001</v>
      </c>
      <c r="G28" s="151"/>
      <c r="H28" s="366">
        <f>'ACCOUNTS 21'!I28</f>
        <v>-2699.1899999999996</v>
      </c>
      <c r="I28" s="367"/>
      <c r="J28" s="366">
        <f>+'CASHFLOW 2022'!P18</f>
        <v>-1845.58</v>
      </c>
      <c r="K28" s="367"/>
      <c r="L28" s="368"/>
      <c r="M28" s="141"/>
      <c r="N28" s="351"/>
      <c r="O28" s="103"/>
      <c r="P28" s="99"/>
      <c r="W28" s="36"/>
    </row>
    <row r="29" spans="1:23" ht="15.5" x14ac:dyDescent="0.35">
      <c r="B29" s="139" t="s">
        <v>9</v>
      </c>
      <c r="C29" s="151"/>
      <c r="D29" s="144">
        <v>-1355.56</v>
      </c>
      <c r="E29" s="151"/>
      <c r="F29" s="144">
        <f>+'CASHFLOW 2017'!P19</f>
        <v>-1435.4499999999998</v>
      </c>
      <c r="G29" s="151"/>
      <c r="H29" s="366">
        <f>'ACCOUNTS 21'!I29</f>
        <v>-1432.48</v>
      </c>
      <c r="I29" s="367"/>
      <c r="J29" s="366">
        <f>+'CASHFLOW 2022'!P19</f>
        <v>-1745.0400000000002</v>
      </c>
      <c r="K29" s="367"/>
      <c r="L29" s="368"/>
      <c r="M29" s="141"/>
      <c r="N29" s="351"/>
      <c r="O29" s="103"/>
      <c r="P29" s="99"/>
      <c r="W29" s="36"/>
    </row>
    <row r="30" spans="1:23" ht="15.5" x14ac:dyDescent="0.35">
      <c r="B30" s="139" t="s">
        <v>10</v>
      </c>
      <c r="C30" s="151"/>
      <c r="D30" s="144">
        <v>-1311.71</v>
      </c>
      <c r="E30" s="151"/>
      <c r="F30" s="144">
        <f>+'CASHFLOW 2017'!P21</f>
        <v>-1377.31</v>
      </c>
      <c r="G30" s="151"/>
      <c r="H30" s="366">
        <f>'ACCOUNTS 21'!I30</f>
        <v>-1117.0999999999999</v>
      </c>
      <c r="I30" s="367"/>
      <c r="J30" s="366">
        <f>+'CASHFLOW 2022'!P22</f>
        <v>-434.28999999999996</v>
      </c>
      <c r="K30" s="367"/>
      <c r="L30" s="368"/>
      <c r="M30" s="141"/>
      <c r="N30" s="351"/>
      <c r="O30" s="103"/>
      <c r="P30" s="99"/>
      <c r="W30" s="36"/>
    </row>
    <row r="31" spans="1:23" ht="15.5" x14ac:dyDescent="0.35">
      <c r="B31" s="139" t="s">
        <v>301</v>
      </c>
      <c r="C31" s="151"/>
      <c r="D31" s="144">
        <v>0</v>
      </c>
      <c r="E31" s="151"/>
      <c r="F31" s="144">
        <f>'CASHFLOW 2017'!P20</f>
        <v>-247.49000000000004</v>
      </c>
      <c r="G31" s="151"/>
      <c r="H31" s="366">
        <f>'ACCOUNTS 21'!I31</f>
        <v>-577.28</v>
      </c>
      <c r="I31" s="367"/>
      <c r="J31" s="366">
        <f>'CASHFLOW 2022'!P20</f>
        <v>-543.6400000000001</v>
      </c>
      <c r="K31" s="367"/>
      <c r="L31" s="368"/>
      <c r="M31" s="141"/>
      <c r="N31" s="351"/>
      <c r="O31" s="103"/>
      <c r="P31" s="99"/>
      <c r="W31" s="36"/>
    </row>
    <row r="32" spans="1:23" ht="15.5" x14ac:dyDescent="0.35">
      <c r="B32" s="151" t="s">
        <v>86</v>
      </c>
      <c r="C32" s="151"/>
      <c r="D32" s="144">
        <v>20</v>
      </c>
      <c r="E32" s="151"/>
      <c r="F32" s="144">
        <f>'CASHFLOW 2017'!P10</f>
        <v>20</v>
      </c>
      <c r="G32" s="151"/>
      <c r="H32" s="366">
        <f>'ACCOUNTS 21'!I32</f>
        <v>-100</v>
      </c>
      <c r="I32" s="367"/>
      <c r="J32" s="366">
        <f>+'CASHFLOW 2022'!P21</f>
        <v>-100</v>
      </c>
      <c r="K32" s="367"/>
      <c r="L32" s="368"/>
      <c r="M32" s="141"/>
      <c r="N32" s="351"/>
      <c r="O32" s="103"/>
      <c r="P32" s="99"/>
      <c r="W32" s="36"/>
    </row>
    <row r="33" spans="1:23" ht="15.5" x14ac:dyDescent="0.35">
      <c r="B33" s="139" t="s">
        <v>11</v>
      </c>
      <c r="C33" s="151"/>
      <c r="D33" s="144">
        <v>-648.04</v>
      </c>
      <c r="E33" s="151"/>
      <c r="F33" s="144">
        <f>+'CASHFLOW 2017'!P22-(0*'CASHFLOW 2017'!O22)</f>
        <v>-984.81999999999994</v>
      </c>
      <c r="G33" s="151"/>
      <c r="H33" s="366">
        <f>'ACCOUNTS 21'!I33</f>
        <v>54.830000000000041</v>
      </c>
      <c r="I33" s="367"/>
      <c r="J33" s="366">
        <f>'CASHFLOW 2022'!P23</f>
        <v>-612.28</v>
      </c>
      <c r="K33" s="367"/>
      <c r="L33" s="368"/>
      <c r="M33" s="141"/>
      <c r="N33" s="351"/>
      <c r="O33" s="103"/>
      <c r="P33" s="99"/>
      <c r="W33" s="36"/>
    </row>
    <row r="34" spans="1:23" ht="15.5" x14ac:dyDescent="0.35">
      <c r="B34" s="139" t="s">
        <v>12</v>
      </c>
      <c r="C34" s="151"/>
      <c r="D34" s="144">
        <v>-3904.12</v>
      </c>
      <c r="E34" s="151"/>
      <c r="F34" s="144">
        <f>+'CASHFLOW 2017'!P23</f>
        <v>-4302.0800000000008</v>
      </c>
      <c r="G34" s="151"/>
      <c r="H34" s="366">
        <f>'ACCOUNTS 21'!I34</f>
        <v>-4490.96</v>
      </c>
      <c r="I34" s="367"/>
      <c r="J34" s="366">
        <f>+'CASHFLOW 2022'!P24</f>
        <v>-5829.7700000000013</v>
      </c>
      <c r="K34" s="367"/>
      <c r="L34" s="368"/>
      <c r="M34" s="141"/>
      <c r="N34" s="351"/>
      <c r="O34" s="103"/>
      <c r="P34" s="99"/>
      <c r="W34" s="36"/>
    </row>
    <row r="35" spans="1:23" ht="15.5" x14ac:dyDescent="0.35">
      <c r="B35" s="139" t="s">
        <v>13</v>
      </c>
      <c r="C35" s="151"/>
      <c r="D35" s="144">
        <v>-541.53</v>
      </c>
      <c r="E35" s="151"/>
      <c r="F35" s="144">
        <f>+'CASHFLOW 2017'!P24</f>
        <v>-561.62</v>
      </c>
      <c r="G35" s="151"/>
      <c r="H35" s="366">
        <f>'ACCOUNTS 21'!I35</f>
        <v>-1059.0999999999999</v>
      </c>
      <c r="I35" s="367"/>
      <c r="J35" s="366">
        <f>+'CASHFLOW 2022'!P25</f>
        <v>-524.4</v>
      </c>
      <c r="K35" s="367"/>
      <c r="L35" s="368"/>
      <c r="M35" s="141"/>
      <c r="N35" s="351"/>
      <c r="O35" s="103"/>
      <c r="P35" s="99"/>
      <c r="W35" s="36"/>
    </row>
    <row r="36" spans="1:23" ht="15.5" x14ac:dyDescent="0.35">
      <c r="B36" s="139" t="s">
        <v>468</v>
      </c>
      <c r="C36" s="151"/>
      <c r="D36" s="144">
        <v>0</v>
      </c>
      <c r="E36" s="151"/>
      <c r="F36" s="144">
        <f>'CASHFLOW 2017'!P25</f>
        <v>-55</v>
      </c>
      <c r="G36" s="151"/>
      <c r="H36" s="366">
        <f>'ACCOUNTS 21'!I36</f>
        <v>0</v>
      </c>
      <c r="I36" s="367"/>
      <c r="J36" s="366">
        <f>+'CASHFLOW 2022'!P26</f>
        <v>-88</v>
      </c>
      <c r="K36" s="367"/>
      <c r="L36" s="368"/>
      <c r="M36" s="141"/>
      <c r="N36" s="351"/>
      <c r="O36" s="103"/>
      <c r="P36" s="99"/>
      <c r="W36" s="36"/>
    </row>
    <row r="37" spans="1:23" ht="15.5" x14ac:dyDescent="0.35">
      <c r="B37" s="139" t="s">
        <v>621</v>
      </c>
      <c r="C37" s="151"/>
      <c r="D37" s="144">
        <f>-15.02-986.57</f>
        <v>-1001.59</v>
      </c>
      <c r="E37" s="151"/>
      <c r="F37" s="144">
        <f>+'CASHFLOW 2017'!P26</f>
        <v>-877.28</v>
      </c>
      <c r="G37" s="151"/>
      <c r="H37" s="366">
        <f>'ACCOUNTS 21'!I37</f>
        <v>-672.17000000000007</v>
      </c>
      <c r="I37" s="367"/>
      <c r="J37" s="366">
        <f>+'CASHFLOW 2022'!P27</f>
        <v>-765.16000000000008</v>
      </c>
      <c r="K37" s="367"/>
      <c r="L37" s="368"/>
      <c r="M37" s="141"/>
      <c r="N37" s="351"/>
      <c r="O37" s="103"/>
      <c r="P37" s="99"/>
      <c r="W37" s="36"/>
    </row>
    <row r="38" spans="1:23" ht="15.5" x14ac:dyDescent="0.35">
      <c r="B38" s="151"/>
      <c r="C38" s="151"/>
      <c r="D38" s="154"/>
      <c r="E38" s="151"/>
      <c r="F38" s="154"/>
      <c r="G38" s="151"/>
      <c r="H38" s="376"/>
      <c r="I38" s="367"/>
      <c r="J38" s="376"/>
      <c r="K38" s="367"/>
      <c r="L38" s="368"/>
      <c r="M38" s="141"/>
      <c r="N38" s="351"/>
      <c r="O38" s="103"/>
      <c r="P38" s="99"/>
      <c r="W38" s="36"/>
    </row>
    <row r="39" spans="1:23" ht="15.5" x14ac:dyDescent="0.35">
      <c r="B39" s="151"/>
      <c r="C39" s="151"/>
      <c r="D39" s="155">
        <f>SUM(D24:D38)</f>
        <v>-42279.09</v>
      </c>
      <c r="E39" s="151"/>
      <c r="F39" s="155">
        <f>SUM(F24:F38)</f>
        <v>-44908.31</v>
      </c>
      <c r="G39" s="151"/>
      <c r="H39" s="377">
        <f>SUM(H24:H38)</f>
        <v>-17217.809999999998</v>
      </c>
      <c r="I39" s="367"/>
      <c r="J39" s="377">
        <f>SUM(J24:J38)</f>
        <v>-19932.320000000003</v>
      </c>
      <c r="K39" s="367"/>
      <c r="L39" s="380"/>
      <c r="M39" s="141"/>
      <c r="N39" s="351"/>
      <c r="O39" s="103"/>
      <c r="P39" s="99"/>
      <c r="W39" s="36"/>
    </row>
    <row r="40" spans="1:23" ht="15.5" x14ac:dyDescent="0.35">
      <c r="B40" s="151"/>
      <c r="C40" s="151"/>
      <c r="D40" s="157"/>
      <c r="E40" s="151"/>
      <c r="F40" s="157"/>
      <c r="G40" s="151"/>
      <c r="H40" s="382"/>
      <c r="I40" s="367"/>
      <c r="J40" s="382"/>
      <c r="K40" s="367"/>
      <c r="L40" s="380"/>
      <c r="M40" s="141"/>
      <c r="N40" s="351"/>
      <c r="O40" s="103"/>
      <c r="P40" s="99"/>
      <c r="W40" s="36"/>
    </row>
    <row r="41" spans="1:23" ht="16" thickBot="1" x14ac:dyDescent="0.4">
      <c r="A41" s="150" t="s">
        <v>14</v>
      </c>
      <c r="C41" s="151"/>
      <c r="D41" s="158">
        <f>D21+D39</f>
        <v>-20204.419999999998</v>
      </c>
      <c r="E41" s="151"/>
      <c r="F41" s="158">
        <f>F21+F39</f>
        <v>967.90000000000146</v>
      </c>
      <c r="G41" s="151"/>
      <c r="H41" s="383">
        <f>H21+H39</f>
        <v>1127.8800000000047</v>
      </c>
      <c r="I41" s="367"/>
      <c r="J41" s="383">
        <f>J21+J39</f>
        <v>5576.6399999999994</v>
      </c>
      <c r="K41" s="367"/>
      <c r="L41" s="380"/>
      <c r="M41" s="141"/>
      <c r="N41" s="351"/>
      <c r="O41" s="103"/>
      <c r="P41" s="99"/>
      <c r="W41" s="36"/>
    </row>
    <row r="42" spans="1:23" ht="16" thickTop="1" x14ac:dyDescent="0.35">
      <c r="B42" s="159"/>
      <c r="C42" s="159"/>
      <c r="D42" s="144"/>
      <c r="E42" s="159"/>
      <c r="F42" s="144"/>
      <c r="G42" s="159"/>
      <c r="H42" s="144"/>
      <c r="I42" s="159"/>
      <c r="J42" s="144"/>
      <c r="K42" s="159"/>
      <c r="L42" s="247"/>
      <c r="M42" s="141"/>
      <c r="N42" s="351"/>
      <c r="O42" s="103"/>
      <c r="P42" s="99"/>
    </row>
    <row r="43" spans="1:23" ht="15.5" x14ac:dyDescent="0.35">
      <c r="A43" s="432" t="s">
        <v>2083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141"/>
      <c r="N43" s="351"/>
      <c r="O43" s="103"/>
      <c r="P43" s="99"/>
    </row>
    <row r="44" spans="1:23" s="13" customFormat="1" ht="15.5" x14ac:dyDescent="0.35">
      <c r="B44" s="150"/>
      <c r="C44" s="151"/>
      <c r="D44" s="157"/>
      <c r="E44" s="151"/>
      <c r="F44" s="157"/>
      <c r="G44" s="151"/>
      <c r="H44" s="157"/>
      <c r="I44" s="151"/>
      <c r="J44" s="157"/>
      <c r="K44" s="151"/>
      <c r="L44" s="143"/>
      <c r="M44" s="141"/>
      <c r="N44" s="351"/>
      <c r="O44" s="103"/>
      <c r="P44" s="99"/>
      <c r="W44" s="1"/>
    </row>
    <row r="45" spans="1:23" ht="15.5" x14ac:dyDescent="0.35">
      <c r="B45" s="139"/>
      <c r="C45" s="151"/>
      <c r="D45" s="157"/>
      <c r="E45" s="151"/>
      <c r="F45" s="157"/>
      <c r="G45" s="151"/>
      <c r="H45" s="157"/>
      <c r="I45" s="151"/>
      <c r="J45" s="157"/>
      <c r="K45" s="151"/>
      <c r="L45" s="143"/>
      <c r="M45" s="141"/>
      <c r="N45" s="351"/>
      <c r="O45" s="103"/>
      <c r="P45" s="99"/>
      <c r="W45" s="13"/>
    </row>
    <row r="46" spans="1:23" ht="15.5" x14ac:dyDescent="0.35">
      <c r="A46" s="139" t="s">
        <v>526</v>
      </c>
      <c r="C46" s="151"/>
      <c r="D46" s="157">
        <v>14779.4</v>
      </c>
      <c r="E46" s="151"/>
      <c r="F46" s="162">
        <f>'CASHFLOW 2017'!O38</f>
        <v>15873.52</v>
      </c>
      <c r="G46" s="151"/>
      <c r="H46" s="366">
        <f>'ACCOUNTS 21'!I46</f>
        <v>5725.5599999999977</v>
      </c>
      <c r="I46" s="367"/>
      <c r="J46" s="366">
        <f>+'CASHFLOW 2022'!P39</f>
        <v>5786.4999999999854</v>
      </c>
      <c r="K46" s="151"/>
      <c r="L46" s="143"/>
      <c r="M46" s="141"/>
      <c r="N46" s="351"/>
      <c r="O46" s="103"/>
      <c r="P46" s="99"/>
    </row>
    <row r="47" spans="1:23" ht="15.5" x14ac:dyDescent="0.35">
      <c r="A47" s="139" t="s">
        <v>1334</v>
      </c>
      <c r="C47" s="151"/>
      <c r="D47" s="157"/>
      <c r="E47" s="151"/>
      <c r="F47" s="157"/>
      <c r="G47" s="151"/>
      <c r="H47" s="366">
        <f>'ACCOUNTS 21'!I47</f>
        <v>35096.339999999997</v>
      </c>
      <c r="I47" s="367"/>
      <c r="J47" s="382">
        <f>'CASHFLOW 2022'!P40+'CASHFLOW 2022'!P41</f>
        <v>40209.039999999994</v>
      </c>
      <c r="K47" s="151"/>
      <c r="L47" s="143"/>
      <c r="M47" s="141"/>
      <c r="N47" s="351"/>
      <c r="O47" s="103"/>
      <c r="P47" s="99"/>
    </row>
    <row r="48" spans="1:23" ht="15.5" x14ac:dyDescent="0.35">
      <c r="B48" s="139"/>
      <c r="C48" s="151"/>
      <c r="D48" s="157"/>
      <c r="E48" s="151"/>
      <c r="F48" s="157"/>
      <c r="G48" s="151"/>
      <c r="H48" s="382"/>
      <c r="I48" s="367"/>
      <c r="J48" s="382"/>
      <c r="K48" s="151"/>
      <c r="L48" s="143"/>
      <c r="M48" s="141"/>
      <c r="N48" s="351"/>
      <c r="O48" s="103"/>
      <c r="P48" s="99"/>
    </row>
    <row r="49" spans="1:16" ht="15.5" x14ac:dyDescent="0.35">
      <c r="B49" s="139"/>
      <c r="C49" s="151"/>
      <c r="D49" s="163">
        <f>SUM(D46:D47)</f>
        <v>14779.4</v>
      </c>
      <c r="E49" s="151"/>
      <c r="F49" s="163">
        <f>SUM(F46:F47)</f>
        <v>15873.52</v>
      </c>
      <c r="G49" s="151"/>
      <c r="H49" s="385">
        <f>SUM(H46:H47)</f>
        <v>40821.899999999994</v>
      </c>
      <c r="I49" s="367"/>
      <c r="J49" s="385">
        <f>SUM(J46:J47)</f>
        <v>45995.539999999979</v>
      </c>
      <c r="K49" s="151"/>
      <c r="L49" s="164"/>
      <c r="M49" s="141"/>
      <c r="N49" s="351"/>
      <c r="O49" s="103"/>
      <c r="P49" s="99"/>
    </row>
    <row r="50" spans="1:16" ht="15.5" x14ac:dyDescent="0.35">
      <c r="A50" s="150" t="s">
        <v>16</v>
      </c>
      <c r="C50" s="151"/>
      <c r="D50" s="157"/>
      <c r="E50" s="151"/>
      <c r="F50" s="157"/>
      <c r="G50" s="151"/>
      <c r="H50" s="382"/>
      <c r="I50" s="367"/>
      <c r="J50" s="382"/>
      <c r="K50" s="151"/>
      <c r="L50" s="143"/>
      <c r="M50" s="141"/>
      <c r="N50" s="351"/>
      <c r="O50" s="103"/>
      <c r="P50" s="99"/>
    </row>
    <row r="51" spans="1:16" ht="15.5" x14ac:dyDescent="0.35">
      <c r="B51" s="139" t="s">
        <v>17</v>
      </c>
      <c r="C51" s="151"/>
      <c r="D51" s="144">
        <v>0</v>
      </c>
      <c r="E51" s="151"/>
      <c r="F51" s="152">
        <f>-'CASHFLOW 2017'!R36</f>
        <v>-280</v>
      </c>
      <c r="G51" s="151"/>
      <c r="H51" s="366">
        <f>'ACCOUNTS 21'!I52</f>
        <v>-1053</v>
      </c>
      <c r="I51" s="367"/>
      <c r="J51" s="366">
        <f>-'CASHFLOW 2022'!R37</f>
        <v>-650</v>
      </c>
      <c r="K51" s="151"/>
      <c r="L51" s="164"/>
      <c r="M51" s="141"/>
      <c r="N51" s="351"/>
      <c r="O51" s="103"/>
      <c r="P51" s="99"/>
    </row>
    <row r="52" spans="1:16" ht="16" thickBot="1" x14ac:dyDescent="0.4">
      <c r="B52" s="139"/>
      <c r="C52" s="151"/>
      <c r="D52" s="158">
        <f>+D49+D51</f>
        <v>14779.4</v>
      </c>
      <c r="E52" s="151"/>
      <c r="F52" s="158">
        <f>+F49+F51</f>
        <v>15593.52</v>
      </c>
      <c r="G52" s="151"/>
      <c r="H52" s="386">
        <f>+H49+H51</f>
        <v>39768.899999999994</v>
      </c>
      <c r="I52" s="387"/>
      <c r="J52" s="386">
        <f>+J49+J51</f>
        <v>45345.539999999979</v>
      </c>
      <c r="K52" s="151"/>
      <c r="L52" s="164"/>
      <c r="M52" s="141"/>
      <c r="N52" s="351"/>
      <c r="O52" s="103"/>
      <c r="P52" s="99"/>
    </row>
    <row r="53" spans="1:16" ht="16" thickTop="1" x14ac:dyDescent="0.35">
      <c r="A53" s="324" t="s">
        <v>18</v>
      </c>
      <c r="C53" s="151"/>
      <c r="D53" s="144"/>
      <c r="E53" s="151"/>
      <c r="F53" s="144"/>
      <c r="G53" s="151"/>
      <c r="H53" s="370"/>
      <c r="I53" s="367"/>
      <c r="J53" s="370"/>
      <c r="K53" s="151"/>
      <c r="L53" s="164"/>
      <c r="M53" s="141"/>
      <c r="N53" s="351"/>
      <c r="O53" s="103"/>
      <c r="P53" s="99"/>
    </row>
    <row r="54" spans="1:16" ht="15.5" x14ac:dyDescent="0.35">
      <c r="B54" s="139" t="s">
        <v>19</v>
      </c>
      <c r="C54" s="151"/>
      <c r="D54" s="144">
        <v>46647.88</v>
      </c>
      <c r="E54" s="151"/>
      <c r="F54" s="144">
        <f>+D58</f>
        <v>26443.46</v>
      </c>
      <c r="G54" s="151"/>
      <c r="H54" s="366">
        <f>'ACCOUNTS 21'!I55</f>
        <v>32641.020000000004</v>
      </c>
      <c r="I54" s="367"/>
      <c r="J54" s="370">
        <f>+H58</f>
        <v>33768.900000000009</v>
      </c>
      <c r="K54" s="151"/>
      <c r="L54" s="164"/>
      <c r="M54" s="141"/>
      <c r="N54" s="351"/>
      <c r="O54" s="103"/>
      <c r="P54" s="99"/>
    </row>
    <row r="55" spans="1:16" ht="15.5" x14ac:dyDescent="0.35">
      <c r="B55" s="139" t="s">
        <v>1527</v>
      </c>
      <c r="C55" s="151"/>
      <c r="D55" s="144"/>
      <c r="E55" s="151"/>
      <c r="F55" s="144"/>
      <c r="G55" s="151"/>
      <c r="H55" s="366">
        <f>'ACCOUNTS 21'!I56</f>
        <v>6000</v>
      </c>
      <c r="I55" s="367"/>
      <c r="J55" s="370">
        <f>+H59</f>
        <v>6000</v>
      </c>
      <c r="K55" s="151"/>
      <c r="L55" s="164"/>
      <c r="M55" s="141"/>
      <c r="N55" s="351"/>
      <c r="O55" s="103"/>
      <c r="P55" s="99"/>
    </row>
    <row r="56" spans="1:16" ht="15.5" x14ac:dyDescent="0.35">
      <c r="B56" s="139" t="s">
        <v>73</v>
      </c>
      <c r="C56" s="151"/>
      <c r="D56" s="154">
        <f>D41</f>
        <v>-20204.419999999998</v>
      </c>
      <c r="E56" s="151"/>
      <c r="F56" s="154">
        <f>F41</f>
        <v>967.90000000000146</v>
      </c>
      <c r="G56" s="151"/>
      <c r="H56" s="366">
        <f>'ACCOUNTS 21'!I57</f>
        <v>1127.8800000000047</v>
      </c>
      <c r="I56" s="367"/>
      <c r="J56" s="382">
        <f>J41</f>
        <v>5576.6399999999994</v>
      </c>
      <c r="K56" s="151"/>
      <c r="L56" s="164"/>
      <c r="M56" s="141"/>
      <c r="N56" s="351"/>
      <c r="O56" s="103"/>
      <c r="P56" s="99"/>
    </row>
    <row r="57" spans="1:16" ht="15.5" x14ac:dyDescent="0.35">
      <c r="B57" s="139" t="s">
        <v>1524</v>
      </c>
      <c r="C57" s="151"/>
      <c r="D57" s="157"/>
      <c r="E57" s="151"/>
      <c r="F57" s="157"/>
      <c r="G57" s="151"/>
      <c r="H57" s="366">
        <f>'ACCOUNTS 21'!I58</f>
        <v>0</v>
      </c>
      <c r="I57" s="367"/>
      <c r="J57" s="382">
        <f>-J12</f>
        <v>-80</v>
      </c>
      <c r="K57" s="151"/>
      <c r="L57" s="164"/>
      <c r="M57" s="141"/>
      <c r="N57" s="351"/>
      <c r="O57" s="103"/>
      <c r="P57" s="99"/>
    </row>
    <row r="58" spans="1:16" ht="16" thickBot="1" x14ac:dyDescent="0.4">
      <c r="B58" s="139" t="s">
        <v>1525</v>
      </c>
      <c r="C58" s="151"/>
      <c r="D58" s="158">
        <f>+D56+D54</f>
        <v>26443.46</v>
      </c>
      <c r="E58" s="151"/>
      <c r="F58" s="158">
        <f>+F56+F54</f>
        <v>27411.360000000001</v>
      </c>
      <c r="G58" s="151"/>
      <c r="H58" s="388">
        <f>'ACCOUNTS 21'!I59</f>
        <v>33768.900000000009</v>
      </c>
      <c r="I58" s="389"/>
      <c r="J58" s="385">
        <f>+J56+J54+J57</f>
        <v>39265.540000000008</v>
      </c>
      <c r="K58" s="151"/>
      <c r="L58" s="164"/>
      <c r="M58" s="141"/>
      <c r="N58" s="351"/>
      <c r="O58" s="103"/>
      <c r="P58" s="99"/>
    </row>
    <row r="59" spans="1:16" ht="16" thickTop="1" x14ac:dyDescent="0.35">
      <c r="B59" s="143" t="s">
        <v>1526</v>
      </c>
      <c r="C59" s="143"/>
      <c r="D59" s="165"/>
      <c r="E59" s="143"/>
      <c r="F59" s="165"/>
      <c r="G59" s="143"/>
      <c r="H59" s="366">
        <f>'ACCOUNTS 21'!I60</f>
        <v>6000</v>
      </c>
      <c r="I59" s="379"/>
      <c r="J59" s="390">
        <f>+J55-J57</f>
        <v>6080</v>
      </c>
      <c r="K59" s="143"/>
      <c r="L59" s="160"/>
      <c r="M59" s="141"/>
      <c r="N59" s="351"/>
      <c r="O59" s="103"/>
      <c r="P59" s="99"/>
    </row>
    <row r="60" spans="1:16" ht="16" thickBot="1" x14ac:dyDescent="0.4">
      <c r="B60" s="143" t="s">
        <v>1556</v>
      </c>
      <c r="C60" s="143"/>
      <c r="D60" s="165"/>
      <c r="E60" s="143"/>
      <c r="F60" s="165"/>
      <c r="G60" s="143"/>
      <c r="H60" s="391">
        <f>+H58+H59</f>
        <v>39768.900000000009</v>
      </c>
      <c r="I60" s="392"/>
      <c r="J60" s="391">
        <f>+J58+J59</f>
        <v>45345.540000000008</v>
      </c>
      <c r="K60" s="143"/>
      <c r="L60" s="160"/>
      <c r="M60" s="141"/>
      <c r="N60" s="351"/>
      <c r="O60" s="103"/>
      <c r="P60" s="99"/>
    </row>
    <row r="61" spans="1:16" ht="16" thickTop="1" x14ac:dyDescent="0.35">
      <c r="B61" s="143"/>
      <c r="C61" s="143"/>
      <c r="D61" s="165"/>
      <c r="E61" s="143"/>
      <c r="F61" s="165"/>
      <c r="G61" s="143"/>
      <c r="H61" s="322"/>
      <c r="I61" s="143"/>
      <c r="J61" s="322"/>
      <c r="K61" s="143"/>
      <c r="L61" s="160"/>
      <c r="M61" s="141"/>
      <c r="N61" s="351"/>
      <c r="O61" s="103"/>
      <c r="P61" s="99"/>
    </row>
    <row r="62" spans="1:16" ht="15.5" x14ac:dyDescent="0.35">
      <c r="A62" s="144" t="s">
        <v>154</v>
      </c>
      <c r="C62" s="151"/>
      <c r="D62" s="143"/>
      <c r="E62" s="151"/>
      <c r="F62" s="143"/>
      <c r="G62" s="151"/>
      <c r="H62" s="144"/>
      <c r="I62" s="151"/>
      <c r="J62" s="144"/>
      <c r="K62" s="151"/>
      <c r="L62" s="145"/>
      <c r="M62" s="143"/>
    </row>
    <row r="63" spans="1:16" ht="15.5" x14ac:dyDescent="0.35">
      <c r="B63" s="144"/>
      <c r="C63" s="151"/>
      <c r="D63" s="143"/>
      <c r="E63" s="151"/>
      <c r="F63" s="143"/>
      <c r="G63" s="151"/>
      <c r="H63" s="144"/>
      <c r="I63" s="151"/>
      <c r="J63" s="144"/>
      <c r="K63" s="151"/>
      <c r="L63" s="145"/>
      <c r="M63" s="143"/>
    </row>
    <row r="64" spans="1:16" ht="15.5" x14ac:dyDescent="0.35">
      <c r="A64" s="425" t="s">
        <v>2364</v>
      </c>
      <c r="B64" s="426" t="s">
        <v>2363</v>
      </c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166"/>
    </row>
    <row r="65" spans="2:13" ht="15.5" x14ac:dyDescent="0.35"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166"/>
    </row>
    <row r="66" spans="2:13" ht="15.5" x14ac:dyDescent="0.35">
      <c r="B66" s="144"/>
      <c r="C66" s="151"/>
      <c r="D66" s="144"/>
      <c r="E66" s="151"/>
      <c r="F66" s="143"/>
      <c r="G66" s="151"/>
      <c r="H66" s="144"/>
      <c r="I66" s="151"/>
      <c r="J66" s="144"/>
      <c r="K66" s="151"/>
      <c r="L66" s="145"/>
      <c r="M66" s="143"/>
    </row>
    <row r="67" spans="2:13" ht="15.5" x14ac:dyDescent="0.35">
      <c r="B67" s="157" t="s">
        <v>2004</v>
      </c>
      <c r="C67" s="151"/>
      <c r="D67" s="144"/>
      <c r="E67" s="167"/>
      <c r="F67" s="143"/>
      <c r="G67" s="167"/>
      <c r="H67" s="144"/>
      <c r="I67" s="167"/>
      <c r="J67" s="144"/>
      <c r="K67" s="167"/>
      <c r="L67" s="145"/>
      <c r="M67" s="143"/>
    </row>
    <row r="68" spans="2:13" ht="15.5" x14ac:dyDescent="0.35">
      <c r="B68" s="151"/>
      <c r="C68" s="143"/>
      <c r="D68" s="143"/>
      <c r="E68" s="143"/>
      <c r="F68" s="143"/>
      <c r="G68" s="143"/>
      <c r="H68" s="151"/>
      <c r="I68" s="143"/>
      <c r="J68" s="151"/>
      <c r="K68" s="143"/>
      <c r="L68" s="157"/>
      <c r="M68" s="143"/>
    </row>
    <row r="69" spans="2:13" ht="13" x14ac:dyDescent="0.3">
      <c r="B69" s="100"/>
      <c r="C69" s="8"/>
      <c r="E69" s="8"/>
      <c r="G69" s="8"/>
      <c r="H69" s="100"/>
      <c r="I69" s="8"/>
      <c r="J69" s="100"/>
      <c r="K69" s="8"/>
      <c r="L69" s="21"/>
    </row>
    <row r="70" spans="2:13" ht="15.5" x14ac:dyDescent="0.35">
      <c r="B70" s="157"/>
      <c r="C70" s="8"/>
      <c r="E70" s="8"/>
      <c r="G70" s="8"/>
      <c r="H70" s="100"/>
      <c r="I70" s="8"/>
      <c r="J70" s="100"/>
      <c r="K70" s="8"/>
      <c r="L70" s="21"/>
    </row>
    <row r="71" spans="2:13" ht="15.5" x14ac:dyDescent="0.35">
      <c r="B71" s="157"/>
      <c r="C71" s="8"/>
      <c r="H71" s="100"/>
      <c r="J71" s="100"/>
      <c r="L71" s="21"/>
    </row>
    <row r="72" spans="2:13" ht="15.5" x14ac:dyDescent="0.35">
      <c r="B72" s="144"/>
      <c r="C72" s="8"/>
      <c r="E72" s="8"/>
      <c r="G72" s="8"/>
      <c r="H72" s="100"/>
      <c r="I72" s="8"/>
      <c r="J72" s="100"/>
      <c r="K72" s="8"/>
      <c r="L72" s="21"/>
    </row>
    <row r="73" spans="2:13" ht="15.5" x14ac:dyDescent="0.35">
      <c r="B73" s="144"/>
      <c r="C73" s="8"/>
      <c r="E73" s="8"/>
      <c r="G73" s="8"/>
      <c r="H73" s="100"/>
      <c r="I73" s="8"/>
      <c r="J73" s="100"/>
      <c r="K73" s="8"/>
      <c r="L73" s="21"/>
    </row>
    <row r="74" spans="2:13" ht="15.5" x14ac:dyDescent="0.35">
      <c r="B74" s="157"/>
      <c r="C74" s="8"/>
      <c r="E74" s="8"/>
      <c r="G74" s="8"/>
      <c r="H74" s="100"/>
      <c r="I74" s="8"/>
      <c r="J74" s="100"/>
      <c r="K74" s="8"/>
      <c r="L74" s="21"/>
    </row>
    <row r="75" spans="2:13" ht="15.5" x14ac:dyDescent="0.35">
      <c r="B75" s="151"/>
      <c r="H75" s="8"/>
      <c r="J75" s="8"/>
      <c r="L75" s="104"/>
    </row>
    <row r="76" spans="2:13" ht="15.5" x14ac:dyDescent="0.35">
      <c r="B76" s="165"/>
      <c r="C76" s="8"/>
      <c r="E76" s="8"/>
      <c r="G76" s="8"/>
      <c r="H76" s="101"/>
      <c r="I76" s="8"/>
      <c r="J76" s="101"/>
      <c r="K76" s="8"/>
      <c r="L76" s="21"/>
    </row>
    <row r="77" spans="2:13" ht="13" x14ac:dyDescent="0.3">
      <c r="B77" s="8"/>
      <c r="C77" s="8"/>
      <c r="F77" s="101"/>
      <c r="H77" s="101"/>
      <c r="J77" s="101"/>
      <c r="L77" s="21"/>
    </row>
    <row r="78" spans="2:13" x14ac:dyDescent="0.25">
      <c r="B78" s="1"/>
      <c r="D78" s="101"/>
      <c r="F78" s="101"/>
      <c r="H78" s="101"/>
      <c r="J78" s="101"/>
      <c r="L78" s="21"/>
    </row>
    <row r="79" spans="2:13" x14ac:dyDescent="0.25">
      <c r="B79" s="1"/>
      <c r="D79" s="101"/>
      <c r="F79" s="101"/>
      <c r="H79" s="101"/>
      <c r="J79" s="101"/>
      <c r="L79" s="21"/>
    </row>
    <row r="80" spans="2:13" x14ac:dyDescent="0.25">
      <c r="B80" s="1"/>
      <c r="D80" s="101"/>
      <c r="F80" s="101"/>
      <c r="H80" s="101"/>
      <c r="J80" s="101"/>
      <c r="L80" s="21"/>
    </row>
    <row r="81" spans="2:12" x14ac:dyDescent="0.25">
      <c r="B81" s="1"/>
      <c r="D81" s="101"/>
      <c r="F81" s="101"/>
      <c r="H81" s="101"/>
      <c r="J81" s="101"/>
      <c r="L81" s="21"/>
    </row>
    <row r="82" spans="2:12" x14ac:dyDescent="0.25">
      <c r="B82" s="1"/>
      <c r="D82" s="101"/>
      <c r="F82" s="101"/>
      <c r="H82" s="101"/>
      <c r="J82" s="101"/>
      <c r="L82" s="21"/>
    </row>
    <row r="83" spans="2:12" x14ac:dyDescent="0.25">
      <c r="B83" s="1"/>
      <c r="D83" s="101"/>
      <c r="F83" s="101"/>
      <c r="H83" s="101"/>
      <c r="J83" s="101"/>
      <c r="L83" s="21"/>
    </row>
    <row r="84" spans="2:12" x14ac:dyDescent="0.25">
      <c r="B84" s="1"/>
      <c r="D84" s="101"/>
      <c r="F84" s="101"/>
      <c r="H84" s="101"/>
      <c r="J84" s="101"/>
      <c r="L84" s="21"/>
    </row>
    <row r="85" spans="2:12" x14ac:dyDescent="0.25">
      <c r="B85" s="1"/>
      <c r="D85" s="101"/>
      <c r="F85" s="101"/>
      <c r="H85" s="101"/>
      <c r="J85" s="101"/>
      <c r="L85" s="21"/>
    </row>
    <row r="86" spans="2:12" x14ac:dyDescent="0.25">
      <c r="B86" s="1"/>
      <c r="D86" s="101"/>
      <c r="F86" s="101"/>
      <c r="H86" s="101"/>
      <c r="J86" s="101"/>
      <c r="L86" s="21"/>
    </row>
  </sheetData>
  <mergeCells count="4">
    <mergeCell ref="B64:L65"/>
    <mergeCell ref="A4:L4"/>
    <mergeCell ref="A2:L2"/>
    <mergeCell ref="A43:L43"/>
  </mergeCells>
  <phoneticPr fontId="9" type="noConversion"/>
  <pageMargins left="0.98" right="0" top="0.39000000000000007" bottom="0" header="0" footer="0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workbookViewId="0"/>
  </sheetViews>
  <sheetFormatPr defaultColWidth="10.90625" defaultRowHeight="12.5" x14ac:dyDescent="0.25"/>
  <sheetData>
    <row r="1" spans="1:8" ht="13" x14ac:dyDescent="0.3">
      <c r="A1" s="30" t="s">
        <v>1693</v>
      </c>
      <c r="G1" t="s">
        <v>1867</v>
      </c>
    </row>
    <row r="2" spans="1:8" x14ac:dyDescent="0.25">
      <c r="G2" t="s">
        <v>35</v>
      </c>
    </row>
    <row r="3" spans="1:8" ht="13" x14ac:dyDescent="0.3">
      <c r="A3" s="23" t="s">
        <v>1472</v>
      </c>
      <c r="B3" s="23"/>
      <c r="C3" s="23"/>
      <c r="D3" s="23"/>
      <c r="E3" s="23"/>
      <c r="F3" s="23"/>
      <c r="G3" s="23"/>
      <c r="H3" s="23"/>
    </row>
    <row r="5" spans="1:8" ht="13" x14ac:dyDescent="0.3">
      <c r="A5" s="23" t="s">
        <v>1475</v>
      </c>
    </row>
    <row r="6" spans="1:8" x14ac:dyDescent="0.25">
      <c r="A6" t="s">
        <v>174</v>
      </c>
      <c r="B6" t="s">
        <v>1476</v>
      </c>
      <c r="C6">
        <v>3200</v>
      </c>
      <c r="G6">
        <v>3528</v>
      </c>
    </row>
    <row r="7" spans="1:8" x14ac:dyDescent="0.25">
      <c r="B7" t="s">
        <v>1476</v>
      </c>
      <c r="C7">
        <v>3300</v>
      </c>
      <c r="G7">
        <v>3360</v>
      </c>
    </row>
    <row r="8" spans="1:8" x14ac:dyDescent="0.25">
      <c r="B8" t="s">
        <v>1476</v>
      </c>
      <c r="C8">
        <v>4000</v>
      </c>
      <c r="G8">
        <v>3920</v>
      </c>
    </row>
    <row r="9" spans="1:8" x14ac:dyDescent="0.25">
      <c r="A9" t="s">
        <v>1694</v>
      </c>
      <c r="C9">
        <v>1300</v>
      </c>
      <c r="G9">
        <v>1365</v>
      </c>
    </row>
    <row r="10" spans="1:8" x14ac:dyDescent="0.25">
      <c r="A10" t="s">
        <v>1695</v>
      </c>
      <c r="C10">
        <v>1000</v>
      </c>
      <c r="G10">
        <v>1176</v>
      </c>
    </row>
    <row r="11" spans="1:8" x14ac:dyDescent="0.25">
      <c r="A11" t="s">
        <v>245</v>
      </c>
      <c r="C11">
        <v>450</v>
      </c>
      <c r="G11">
        <v>968</v>
      </c>
    </row>
    <row r="12" spans="1:8" x14ac:dyDescent="0.25">
      <c r="A12" t="s">
        <v>347</v>
      </c>
      <c r="C12">
        <v>800</v>
      </c>
      <c r="G12">
        <v>1040</v>
      </c>
    </row>
    <row r="13" spans="1:8" x14ac:dyDescent="0.25">
      <c r="A13" t="s">
        <v>475</v>
      </c>
      <c r="C13">
        <v>300</v>
      </c>
      <c r="G13">
        <v>905</v>
      </c>
    </row>
    <row r="14" spans="1:8" x14ac:dyDescent="0.25">
      <c r="A14" t="s">
        <v>1703</v>
      </c>
      <c r="C14">
        <v>660</v>
      </c>
      <c r="G14">
        <v>720</v>
      </c>
    </row>
    <row r="15" spans="1:8" x14ac:dyDescent="0.25">
      <c r="A15" t="s">
        <v>1449</v>
      </c>
      <c r="C15">
        <v>340</v>
      </c>
      <c r="G15">
        <v>238</v>
      </c>
    </row>
    <row r="16" spans="1:8" x14ac:dyDescent="0.25">
      <c r="A16" t="s">
        <v>1289</v>
      </c>
      <c r="C16">
        <v>0</v>
      </c>
      <c r="G16">
        <v>227</v>
      </c>
    </row>
    <row r="17" spans="1:7" x14ac:dyDescent="0.25">
      <c r="A17" t="s">
        <v>1696</v>
      </c>
      <c r="C17">
        <v>200</v>
      </c>
      <c r="G17">
        <v>472</v>
      </c>
    </row>
    <row r="18" spans="1:7" x14ac:dyDescent="0.25">
      <c r="A18" t="s">
        <v>1697</v>
      </c>
      <c r="C18">
        <v>300</v>
      </c>
      <c r="G18">
        <v>602</v>
      </c>
    </row>
    <row r="19" spans="1:7" x14ac:dyDescent="0.25">
      <c r="A19" t="s">
        <v>407</v>
      </c>
      <c r="C19">
        <v>0</v>
      </c>
      <c r="G19">
        <v>564</v>
      </c>
    </row>
    <row r="20" spans="1:7" x14ac:dyDescent="0.25">
      <c r="A20" t="s">
        <v>142</v>
      </c>
      <c r="C20">
        <v>500</v>
      </c>
      <c r="G20">
        <v>606</v>
      </c>
    </row>
    <row r="21" spans="1:7" x14ac:dyDescent="0.25">
      <c r="A21" t="s">
        <v>216</v>
      </c>
      <c r="C21">
        <v>500</v>
      </c>
      <c r="G21">
        <v>661</v>
      </c>
    </row>
    <row r="22" spans="1:7" x14ac:dyDescent="0.25">
      <c r="A22" t="s">
        <v>159</v>
      </c>
      <c r="C22">
        <v>50</v>
      </c>
    </row>
    <row r="23" spans="1:7" x14ac:dyDescent="0.25">
      <c r="A23" t="s">
        <v>351</v>
      </c>
      <c r="C23">
        <v>100</v>
      </c>
      <c r="G23">
        <v>223</v>
      </c>
    </row>
    <row r="24" spans="1:7" x14ac:dyDescent="0.25">
      <c r="A24" t="s">
        <v>1868</v>
      </c>
      <c r="C24">
        <v>0</v>
      </c>
      <c r="G24">
        <v>206</v>
      </c>
    </row>
    <row r="25" spans="1:7" x14ac:dyDescent="0.25">
      <c r="A25" t="s">
        <v>1869</v>
      </c>
      <c r="G25">
        <v>40</v>
      </c>
    </row>
    <row r="26" spans="1:7" x14ac:dyDescent="0.25">
      <c r="A26" t="s">
        <v>1870</v>
      </c>
      <c r="G26">
        <v>504</v>
      </c>
    </row>
    <row r="30" spans="1:7" x14ac:dyDescent="0.25">
      <c r="A30" t="s">
        <v>1477</v>
      </c>
      <c r="D30">
        <f>SUM(C6:C29)</f>
        <v>17000</v>
      </c>
      <c r="G30">
        <f>SUM(G6:G28)</f>
        <v>21325</v>
      </c>
    </row>
    <row r="33" spans="1:4" ht="13" x14ac:dyDescent="0.3">
      <c r="A33" s="23" t="s">
        <v>1478</v>
      </c>
    </row>
    <row r="35" spans="1:4" x14ac:dyDescent="0.25">
      <c r="A35" t="s">
        <v>1706</v>
      </c>
      <c r="D35">
        <v>5000</v>
      </c>
    </row>
    <row r="38" spans="1:4" x14ac:dyDescent="0.25">
      <c r="A38" t="s">
        <v>1698</v>
      </c>
      <c r="D38">
        <v>35</v>
      </c>
    </row>
    <row r="40" spans="1:4" x14ac:dyDescent="0.25">
      <c r="A40" t="s">
        <v>1482</v>
      </c>
      <c r="D40">
        <v>300</v>
      </c>
    </row>
    <row r="42" spans="1:4" ht="13" x14ac:dyDescent="0.3">
      <c r="A42" s="23" t="s">
        <v>260</v>
      </c>
    </row>
    <row r="44" spans="1:4" x14ac:dyDescent="0.25">
      <c r="A44" t="s">
        <v>1483</v>
      </c>
    </row>
    <row r="45" spans="1:4" x14ac:dyDescent="0.25">
      <c r="A45" t="s">
        <v>1707</v>
      </c>
      <c r="D45">
        <v>-6000</v>
      </c>
    </row>
    <row r="46" spans="1:4" x14ac:dyDescent="0.25">
      <c r="A46" t="s">
        <v>1708</v>
      </c>
      <c r="D46">
        <v>-3500</v>
      </c>
    </row>
    <row r="47" spans="1:4" x14ac:dyDescent="0.25">
      <c r="A47" t="s">
        <v>1709</v>
      </c>
      <c r="D47">
        <v>-1500</v>
      </c>
    </row>
    <row r="48" spans="1:4" x14ac:dyDescent="0.25">
      <c r="A48" t="s">
        <v>1710</v>
      </c>
      <c r="D48">
        <v>-1200</v>
      </c>
    </row>
    <row r="49" spans="1:4" x14ac:dyDescent="0.25">
      <c r="A49" t="s">
        <v>1489</v>
      </c>
      <c r="D49">
        <v>-540</v>
      </c>
    </row>
    <row r="50" spans="1:4" x14ac:dyDescent="0.25">
      <c r="A50" t="s">
        <v>86</v>
      </c>
      <c r="D50">
        <v>-100</v>
      </c>
    </row>
    <row r="51" spans="1:4" x14ac:dyDescent="0.25">
      <c r="A51" t="s">
        <v>1711</v>
      </c>
      <c r="D51">
        <v>-1000</v>
      </c>
    </row>
    <row r="52" spans="1:4" ht="13" x14ac:dyDescent="0.3">
      <c r="A52" s="30" t="s">
        <v>12</v>
      </c>
    </row>
    <row r="53" spans="1:4" x14ac:dyDescent="0.25">
      <c r="A53" t="s">
        <v>1699</v>
      </c>
      <c r="C53">
        <v>3536</v>
      </c>
    </row>
    <row r="54" spans="1:4" x14ac:dyDescent="0.25">
      <c r="A54" t="s">
        <v>1490</v>
      </c>
      <c r="C54">
        <v>1080</v>
      </c>
    </row>
    <row r="55" spans="1:4" x14ac:dyDescent="0.25">
      <c r="A55" t="s">
        <v>1712</v>
      </c>
      <c r="C55">
        <v>480</v>
      </c>
    </row>
    <row r="56" spans="1:4" x14ac:dyDescent="0.25">
      <c r="A56" t="s">
        <v>1492</v>
      </c>
      <c r="C56">
        <v>439</v>
      </c>
      <c r="D56">
        <f>-SUM(C53:C56)</f>
        <v>-5535</v>
      </c>
    </row>
    <row r="57" spans="1:4" ht="13" x14ac:dyDescent="0.3">
      <c r="A57" s="30" t="s">
        <v>13</v>
      </c>
    </row>
    <row r="58" spans="1:4" x14ac:dyDescent="0.25">
      <c r="A58" t="s">
        <v>1700</v>
      </c>
      <c r="C58">
        <v>610</v>
      </c>
    </row>
    <row r="59" spans="1:4" x14ac:dyDescent="0.25">
      <c r="A59" t="s">
        <v>232</v>
      </c>
      <c r="C59">
        <v>50</v>
      </c>
    </row>
    <row r="60" spans="1:4" x14ac:dyDescent="0.25">
      <c r="A60" t="s">
        <v>1495</v>
      </c>
      <c r="C60">
        <v>35</v>
      </c>
      <c r="D60">
        <f>-SUM(C58:C60)</f>
        <v>-695</v>
      </c>
    </row>
    <row r="61" spans="1:4" x14ac:dyDescent="0.25">
      <c r="A61" t="s">
        <v>1701</v>
      </c>
      <c r="D61">
        <v>-150</v>
      </c>
    </row>
    <row r="62" spans="1:4" x14ac:dyDescent="0.25">
      <c r="A62" t="s">
        <v>1496</v>
      </c>
      <c r="D62">
        <v>-750</v>
      </c>
    </row>
    <row r="63" spans="1:4" x14ac:dyDescent="0.25">
      <c r="A63" t="s">
        <v>1702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47"/>
  <sheetViews>
    <sheetView showGridLines="0" workbookViewId="0">
      <pane ySplit="1" topLeftCell="A198" activePane="bottomLeft" state="frozen"/>
      <selection activeCell="M382" sqref="M382:Q383"/>
      <selection pane="bottomLeft" activeCell="D218" sqref="D218"/>
    </sheetView>
  </sheetViews>
  <sheetFormatPr defaultColWidth="8.7265625" defaultRowHeight="13" outlineLevelCol="1" x14ac:dyDescent="0.3"/>
  <cols>
    <col min="1" max="1" width="14.1796875" style="39" customWidth="1"/>
    <col min="2" max="2" width="8.1796875" style="360" customWidth="1"/>
    <col min="3" max="3" width="8.1796875" style="106" customWidth="1"/>
    <col min="4" max="4" width="20.6328125" style="15" customWidth="1"/>
    <col min="5" max="5" width="19.453125" style="114" customWidth="1"/>
    <col min="6" max="6" width="48.08984375" style="13" bestFit="1" customWidth="1" outlineLevel="1"/>
    <col min="7" max="7" width="2.1796875" style="15" customWidth="1"/>
    <col min="8" max="8" width="10.36328125" style="13" customWidth="1"/>
    <col min="9" max="9" width="11.1796875" style="43" bestFit="1" customWidth="1"/>
    <col min="10" max="10" width="16.1796875" style="43" customWidth="1" outlineLevel="1"/>
    <col min="11" max="11" width="10.54296875" style="43" bestFit="1" customWidth="1"/>
    <col min="12" max="12" width="11.36328125" style="43" customWidth="1"/>
    <col min="13" max="13" width="11.36328125" style="43" bestFit="1" customWidth="1"/>
    <col min="14" max="14" width="9.81640625" style="18" customWidth="1"/>
    <col min="15" max="15" width="9.81640625" style="15" bestFit="1" customWidth="1"/>
    <col min="16" max="16" width="8.7265625" style="16" customWidth="1"/>
    <col min="17" max="17" width="8.7265625" style="15"/>
    <col min="18" max="18" width="8.453125" style="11" customWidth="1"/>
    <col min="19" max="20" width="10.08984375" style="15" bestFit="1" customWidth="1"/>
    <col min="21" max="21" width="8.7265625" style="15"/>
    <col min="22" max="22" width="9.81640625" style="15" bestFit="1" customWidth="1"/>
    <col min="23" max="23" width="9.453125" style="15" bestFit="1" customWidth="1"/>
    <col min="24" max="25" width="8.7265625" style="15"/>
    <col min="26" max="26" width="9.81640625" style="15" bestFit="1" customWidth="1"/>
    <col min="27" max="16384" width="8.7265625" style="15"/>
  </cols>
  <sheetData>
    <row r="1" spans="1:16" x14ac:dyDescent="0.3">
      <c r="A1" s="12"/>
      <c r="C1" s="29"/>
      <c r="D1" s="5" t="s">
        <v>41</v>
      </c>
      <c r="E1" s="124"/>
      <c r="F1" s="2"/>
      <c r="H1" s="2" t="s">
        <v>42</v>
      </c>
      <c r="I1" s="41" t="s">
        <v>43</v>
      </c>
      <c r="J1" s="41" t="s">
        <v>494</v>
      </c>
      <c r="K1" s="41" t="s">
        <v>44</v>
      </c>
      <c r="L1" s="41" t="s">
        <v>493</v>
      </c>
      <c r="M1" s="41" t="s">
        <v>45</v>
      </c>
      <c r="N1" s="44" t="s">
        <v>46</v>
      </c>
    </row>
    <row r="2" spans="1:16" x14ac:dyDescent="0.3">
      <c r="C2" s="59"/>
      <c r="D2" s="24"/>
      <c r="E2" s="255"/>
      <c r="F2" s="11"/>
      <c r="G2" s="27"/>
      <c r="H2" s="33"/>
      <c r="I2" s="27"/>
      <c r="J2" s="33"/>
      <c r="K2" s="42"/>
      <c r="L2" s="42"/>
      <c r="M2" s="42"/>
      <c r="N2" s="43"/>
      <c r="O2" s="43"/>
      <c r="P2" s="18"/>
    </row>
    <row r="3" spans="1:16" x14ac:dyDescent="0.3">
      <c r="C3" s="59"/>
      <c r="D3" s="24" t="s">
        <v>1540</v>
      </c>
      <c r="E3" s="178"/>
      <c r="F3" s="4"/>
      <c r="G3" s="179"/>
      <c r="H3" s="193"/>
      <c r="I3" s="179"/>
      <c r="J3" s="193"/>
      <c r="K3" s="200"/>
      <c r="L3" s="200"/>
      <c r="M3" s="200"/>
      <c r="N3" s="125"/>
      <c r="O3" s="125"/>
      <c r="P3" s="18"/>
    </row>
    <row r="4" spans="1:16" x14ac:dyDescent="0.3">
      <c r="C4" s="59"/>
      <c r="D4" s="24"/>
      <c r="E4" s="178"/>
      <c r="F4" s="4"/>
      <c r="G4" s="179"/>
      <c r="H4" s="193"/>
      <c r="I4" s="179"/>
      <c r="J4" s="193"/>
      <c r="K4" s="200"/>
      <c r="L4" s="200"/>
      <c r="M4" s="200"/>
      <c r="N4" s="125"/>
      <c r="O4" s="125"/>
      <c r="P4" s="18"/>
    </row>
    <row r="5" spans="1:16" x14ac:dyDescent="0.3">
      <c r="C5" s="59"/>
      <c r="D5" s="3"/>
      <c r="E5" s="180"/>
      <c r="F5" s="4" t="s">
        <v>110</v>
      </c>
      <c r="G5" s="179"/>
      <c r="H5" s="193"/>
      <c r="I5" s="179"/>
      <c r="J5" s="193"/>
      <c r="K5" s="200"/>
      <c r="L5" s="200"/>
      <c r="M5" s="200"/>
      <c r="N5" s="125"/>
      <c r="O5" s="125">
        <v>6830.56</v>
      </c>
      <c r="P5" s="18"/>
    </row>
    <row r="6" spans="1:16" x14ac:dyDescent="0.3">
      <c r="C6" s="59"/>
      <c r="D6" s="3"/>
      <c r="E6" s="180"/>
      <c r="F6" s="4"/>
      <c r="G6" s="179"/>
      <c r="H6" s="1"/>
      <c r="I6" s="4"/>
      <c r="J6" s="1"/>
      <c r="K6" s="125"/>
      <c r="L6" s="125"/>
      <c r="M6" s="125"/>
      <c r="N6" s="125" t="s">
        <v>1786</v>
      </c>
      <c r="O6" s="125"/>
      <c r="P6" s="18"/>
    </row>
    <row r="7" spans="1:16" x14ac:dyDescent="0.3">
      <c r="C7" s="59"/>
      <c r="D7" s="3"/>
      <c r="E7" s="180"/>
      <c r="F7" s="4" t="s">
        <v>1284</v>
      </c>
      <c r="G7" s="179"/>
      <c r="H7" s="1"/>
      <c r="I7" s="4"/>
      <c r="J7" s="1"/>
      <c r="K7" s="125"/>
      <c r="L7" s="125"/>
      <c r="M7" s="125"/>
      <c r="N7" s="125"/>
      <c r="O7" s="125"/>
      <c r="P7" s="18"/>
    </row>
    <row r="8" spans="1:16" x14ac:dyDescent="0.3">
      <c r="C8" s="59"/>
      <c r="D8" s="3"/>
      <c r="E8" s="180"/>
      <c r="F8"/>
      <c r="G8" s="179"/>
      <c r="H8" s="1"/>
      <c r="I8" s="4"/>
      <c r="J8" s="1"/>
      <c r="K8" s="125"/>
      <c r="L8" s="125"/>
      <c r="M8" s="125"/>
      <c r="N8" s="125"/>
      <c r="O8" s="125"/>
      <c r="P8" s="18"/>
    </row>
    <row r="9" spans="1:16" x14ac:dyDescent="0.3">
      <c r="C9" s="59"/>
      <c r="D9" s="3"/>
      <c r="E9" s="180"/>
      <c r="F9" t="s">
        <v>1787</v>
      </c>
      <c r="G9"/>
      <c r="H9" s="1"/>
      <c r="I9"/>
      <c r="J9" s="1"/>
      <c r="K9" s="125"/>
      <c r="L9" s="125"/>
      <c r="M9" s="125"/>
      <c r="N9" s="4">
        <v>-1096</v>
      </c>
      <c r="O9" s="125"/>
      <c r="P9" s="18" t="s">
        <v>1798</v>
      </c>
    </row>
    <row r="10" spans="1:16" x14ac:dyDescent="0.3">
      <c r="C10" s="59"/>
      <c r="D10" s="3"/>
      <c r="E10" s="180"/>
      <c r="F10" s="4" t="s">
        <v>1788</v>
      </c>
      <c r="G10" s="4"/>
      <c r="H10"/>
      <c r="I10"/>
      <c r="J10" s="1"/>
      <c r="K10"/>
      <c r="L10" s="125"/>
      <c r="M10" s="125"/>
      <c r="N10" s="4">
        <v>81</v>
      </c>
      <c r="O10" s="125"/>
      <c r="P10" s="18" t="s">
        <v>1826</v>
      </c>
    </row>
    <row r="11" spans="1:16" x14ac:dyDescent="0.3">
      <c r="C11" s="59"/>
      <c r="D11" s="3"/>
      <c r="E11" s="180"/>
      <c r="F11" s="4" t="s">
        <v>1789</v>
      </c>
      <c r="G11" s="4"/>
      <c r="H11" s="4"/>
      <c r="I11"/>
      <c r="J11" s="1"/>
      <c r="K11"/>
      <c r="L11" s="125"/>
      <c r="M11" s="125"/>
      <c r="N11" s="125">
        <v>-40</v>
      </c>
      <c r="O11" s="125"/>
      <c r="P11" s="18" t="s">
        <v>1796</v>
      </c>
    </row>
    <row r="12" spans="1:16" x14ac:dyDescent="0.3">
      <c r="C12" s="59"/>
      <c r="D12" s="3"/>
      <c r="E12" s="180"/>
      <c r="F12" s="4" t="s">
        <v>1790</v>
      </c>
      <c r="G12" s="4"/>
      <c r="H12"/>
      <c r="I12"/>
      <c r="J12"/>
      <c r="K12"/>
      <c r="L12" s="125"/>
      <c r="M12" s="125"/>
      <c r="N12" s="125">
        <v>-50</v>
      </c>
      <c r="O12" s="125"/>
      <c r="P12" s="18" t="s">
        <v>1797</v>
      </c>
    </row>
    <row r="13" spans="1:16" x14ac:dyDescent="0.3">
      <c r="C13" s="59"/>
      <c r="D13" s="3"/>
      <c r="E13" s="180"/>
      <c r="F13" s="4"/>
      <c r="G13" s="4"/>
      <c r="H13"/>
      <c r="I13"/>
      <c r="J13"/>
      <c r="K13"/>
      <c r="L13" s="125"/>
      <c r="M13" s="125"/>
      <c r="N13" s="125"/>
      <c r="O13" s="125">
        <v>-1105</v>
      </c>
      <c r="P13" s="18"/>
    </row>
    <row r="14" spans="1:16" ht="13.5" thickBot="1" x14ac:dyDescent="0.35">
      <c r="C14" s="59"/>
      <c r="D14" s="3"/>
      <c r="E14" s="180"/>
      <c r="F14" s="4"/>
      <c r="G14" s="181"/>
      <c r="H14" s="1"/>
      <c r="I14"/>
      <c r="J14" s="1"/>
      <c r="K14" s="125"/>
      <c r="L14" s="125"/>
      <c r="M14" s="125"/>
      <c r="N14" s="125"/>
      <c r="O14" s="125"/>
      <c r="P14" s="18"/>
    </row>
    <row r="15" spans="1:16" ht="13.5" thickBot="1" x14ac:dyDescent="0.35">
      <c r="C15" s="59"/>
      <c r="D15" s="3"/>
      <c r="E15" s="180"/>
      <c r="F15" s="74" t="s">
        <v>1270</v>
      </c>
      <c r="G15" s="179"/>
      <c r="H15" s="1"/>
      <c r="I15" s="4"/>
      <c r="J15" s="1"/>
      <c r="K15" s="125"/>
      <c r="L15" s="125"/>
      <c r="M15" s="125"/>
      <c r="N15" s="125"/>
      <c r="O15" s="346">
        <v>5725.56</v>
      </c>
      <c r="P15" s="18"/>
    </row>
    <row r="16" spans="1:16" ht="13.5" thickTop="1" x14ac:dyDescent="0.3">
      <c r="C16" s="59"/>
      <c r="D16" s="3"/>
      <c r="E16" s="180"/>
      <c r="F16" s="4"/>
      <c r="G16" s="179"/>
      <c r="H16" s="1"/>
      <c r="I16" s="4"/>
      <c r="J16" s="1"/>
      <c r="K16" s="125"/>
      <c r="L16" s="125"/>
      <c r="M16" s="125"/>
      <c r="N16" s="125"/>
      <c r="O16" s="125"/>
      <c r="P16" s="18"/>
    </row>
    <row r="17" spans="3:16" x14ac:dyDescent="0.3">
      <c r="C17" s="59"/>
      <c r="D17" s="3"/>
      <c r="E17" s="180"/>
      <c r="F17" s="4"/>
      <c r="G17" s="179"/>
      <c r="H17" s="1"/>
      <c r="I17" s="4"/>
      <c r="J17" s="1"/>
      <c r="K17" s="125"/>
      <c r="L17" s="125"/>
      <c r="M17" s="125"/>
      <c r="N17" s="125"/>
      <c r="O17" s="125"/>
      <c r="P17" s="18"/>
    </row>
    <row r="18" spans="3:16" x14ac:dyDescent="0.3">
      <c r="C18" s="59"/>
      <c r="D18" s="3"/>
      <c r="E18" s="180" t="s">
        <v>1541</v>
      </c>
      <c r="F18" s="4"/>
      <c r="G18" s="179"/>
      <c r="H18" s="1"/>
      <c r="I18" s="4"/>
      <c r="J18" s="1"/>
      <c r="K18" s="125"/>
      <c r="L18" s="125"/>
      <c r="M18" s="125"/>
      <c r="N18" s="125"/>
      <c r="O18" s="125"/>
      <c r="P18" s="18"/>
    </row>
    <row r="19" spans="3:16" x14ac:dyDescent="0.3">
      <c r="C19" s="59"/>
      <c r="D19" s="174"/>
      <c r="E19" s="175"/>
      <c r="F19"/>
      <c r="G19" s="181"/>
      <c r="H19" s="1"/>
      <c r="I19"/>
      <c r="J19" s="1"/>
      <c r="K19" s="125"/>
      <c r="L19" s="125"/>
      <c r="M19" s="125"/>
      <c r="N19" s="125"/>
      <c r="O19" s="125"/>
      <c r="P19" s="18"/>
    </row>
    <row r="20" spans="3:16" x14ac:dyDescent="0.3">
      <c r="C20" s="59"/>
      <c r="D20" s="174"/>
      <c r="E20" s="350">
        <v>1</v>
      </c>
      <c r="F20" s="187" t="s">
        <v>1463</v>
      </c>
      <c r="G20" s="349" t="s">
        <v>1781</v>
      </c>
      <c r="H20" s="349"/>
      <c r="I20" s="359"/>
      <c r="J20" s="121">
        <v>50</v>
      </c>
      <c r="K20" s="275"/>
      <c r="L20" s="275" t="s">
        <v>1823</v>
      </c>
      <c r="M20" s="275"/>
      <c r="N20" s="275"/>
      <c r="O20" s="125"/>
      <c r="P20" s="18"/>
    </row>
    <row r="21" spans="3:16" x14ac:dyDescent="0.3">
      <c r="C21" s="59"/>
      <c r="D21" s="174"/>
      <c r="E21" s="350">
        <v>2</v>
      </c>
      <c r="F21" s="187" t="s">
        <v>1464</v>
      </c>
      <c r="G21" s="349" t="s">
        <v>1781</v>
      </c>
      <c r="H21" s="349"/>
      <c r="I21" s="359"/>
      <c r="J21" s="121">
        <v>70</v>
      </c>
      <c r="K21" s="275"/>
      <c r="L21" s="275" t="s">
        <v>1823</v>
      </c>
      <c r="M21" s="275"/>
      <c r="N21" s="275"/>
      <c r="O21" s="125"/>
      <c r="P21" s="18"/>
    </row>
    <row r="22" spans="3:16" x14ac:dyDescent="0.3">
      <c r="C22" s="59"/>
      <c r="D22" s="174"/>
      <c r="E22" s="175">
        <v>3</v>
      </c>
      <c r="F22" s="194" t="s">
        <v>489</v>
      </c>
      <c r="G22" s="4" t="s">
        <v>1591</v>
      </c>
      <c r="H22" s="1"/>
      <c r="I22"/>
      <c r="J22" s="1">
        <v>50</v>
      </c>
      <c r="K22" s="125"/>
      <c r="L22" s="125" t="s">
        <v>1791</v>
      </c>
      <c r="M22" s="125"/>
      <c r="N22" s="125"/>
      <c r="O22" s="125"/>
      <c r="P22" s="18"/>
    </row>
    <row r="23" spans="3:16" x14ac:dyDescent="0.3">
      <c r="C23" s="59"/>
      <c r="D23" s="174"/>
      <c r="E23" s="350">
        <v>4</v>
      </c>
      <c r="F23" s="194" t="s">
        <v>489</v>
      </c>
      <c r="G23" s="121" t="s">
        <v>1612</v>
      </c>
      <c r="H23" s="121"/>
      <c r="I23"/>
      <c r="J23" s="121">
        <v>183</v>
      </c>
      <c r="K23" s="125"/>
      <c r="L23" s="275" t="s">
        <v>1980</v>
      </c>
      <c r="M23" s="125"/>
      <c r="N23" s="125"/>
      <c r="O23" s="125"/>
      <c r="P23" s="18"/>
    </row>
    <row r="24" spans="3:16" x14ac:dyDescent="0.3">
      <c r="C24" s="59"/>
      <c r="D24" s="174"/>
      <c r="E24" s="350">
        <v>5</v>
      </c>
      <c r="F24" s="204" t="s">
        <v>490</v>
      </c>
      <c r="G24" s="349" t="s">
        <v>1633</v>
      </c>
      <c r="H24" s="121"/>
      <c r="I24"/>
      <c r="J24" s="121">
        <v>50</v>
      </c>
      <c r="K24" s="125"/>
      <c r="L24" s="275" t="s">
        <v>1858</v>
      </c>
      <c r="M24" s="125"/>
      <c r="N24" s="125"/>
      <c r="O24" s="125"/>
      <c r="P24" s="18"/>
    </row>
    <row r="25" spans="3:16" x14ac:dyDescent="0.3">
      <c r="C25" s="59"/>
      <c r="D25" s="174"/>
      <c r="E25" s="175">
        <v>6</v>
      </c>
      <c r="F25" s="187" t="s">
        <v>400</v>
      </c>
      <c r="G25" s="4" t="s">
        <v>1642</v>
      </c>
      <c r="H25" s="1"/>
      <c r="I25"/>
      <c r="J25" s="1">
        <v>50</v>
      </c>
      <c r="K25" s="125"/>
      <c r="L25" s="125" t="s">
        <v>1792</v>
      </c>
      <c r="M25" s="125"/>
      <c r="N25" s="125"/>
      <c r="O25" s="125"/>
      <c r="P25" s="18"/>
    </row>
    <row r="26" spans="3:16" x14ac:dyDescent="0.3">
      <c r="C26" s="59"/>
      <c r="D26" s="174"/>
      <c r="E26" s="175">
        <v>7</v>
      </c>
      <c r="F26" s="187" t="s">
        <v>400</v>
      </c>
      <c r="G26" s="4" t="s">
        <v>1655</v>
      </c>
      <c r="H26" s="4"/>
      <c r="I26"/>
      <c r="J26" s="1">
        <v>50</v>
      </c>
      <c r="K26" s="125"/>
      <c r="L26" s="125" t="s">
        <v>1792</v>
      </c>
      <c r="M26" s="125"/>
      <c r="N26" s="125"/>
      <c r="O26" s="125"/>
      <c r="P26" s="18"/>
    </row>
    <row r="27" spans="3:16" x14ac:dyDescent="0.3">
      <c r="C27" s="59"/>
      <c r="D27" s="174"/>
      <c r="E27" s="175">
        <v>8</v>
      </c>
      <c r="F27" s="187" t="s">
        <v>491</v>
      </c>
      <c r="G27" s="4" t="s">
        <v>1713</v>
      </c>
      <c r="H27" s="1"/>
      <c r="I27"/>
      <c r="J27" s="1">
        <v>50</v>
      </c>
      <c r="K27" s="125"/>
      <c r="L27" s="125" t="s">
        <v>1792</v>
      </c>
      <c r="M27" s="125"/>
      <c r="N27" s="125"/>
      <c r="O27" s="125"/>
      <c r="P27" s="18"/>
    </row>
    <row r="28" spans="3:16" x14ac:dyDescent="0.3">
      <c r="C28" s="59"/>
      <c r="D28" s="174"/>
      <c r="E28" s="350">
        <v>9</v>
      </c>
      <c r="F28" s="187" t="s">
        <v>491</v>
      </c>
      <c r="G28" s="349" t="s">
        <v>1715</v>
      </c>
      <c r="H28" s="121"/>
      <c r="I28" s="359"/>
      <c r="J28" s="121">
        <v>200</v>
      </c>
      <c r="K28" s="125"/>
      <c r="L28" s="275" t="s">
        <v>1793</v>
      </c>
      <c r="M28" s="275"/>
      <c r="N28" s="125" t="s">
        <v>1997</v>
      </c>
      <c r="O28" s="125"/>
      <c r="P28" s="18"/>
    </row>
    <row r="29" spans="3:16" x14ac:dyDescent="0.3">
      <c r="C29" s="59"/>
      <c r="D29" s="174"/>
      <c r="E29" s="350">
        <v>10</v>
      </c>
      <c r="F29" s="187" t="s">
        <v>491</v>
      </c>
      <c r="G29" s="349" t="s">
        <v>1724</v>
      </c>
      <c r="H29" s="121"/>
      <c r="I29"/>
      <c r="J29" s="121">
        <v>50</v>
      </c>
      <c r="K29" s="125"/>
      <c r="L29" s="275" t="s">
        <v>1844</v>
      </c>
      <c r="M29" s="275"/>
      <c r="N29" s="275"/>
      <c r="O29" s="125"/>
      <c r="P29" s="18"/>
    </row>
    <row r="30" spans="3:16" x14ac:dyDescent="0.3">
      <c r="C30" s="59"/>
      <c r="D30" s="174"/>
      <c r="E30" s="350">
        <v>11</v>
      </c>
      <c r="F30" s="187" t="s">
        <v>491</v>
      </c>
      <c r="G30" s="349" t="s">
        <v>1738</v>
      </c>
      <c r="H30" s="121"/>
      <c r="I30"/>
      <c r="J30" s="121">
        <v>50</v>
      </c>
      <c r="K30" s="125"/>
      <c r="L30" s="275" t="s">
        <v>1908</v>
      </c>
      <c r="M30" s="275"/>
      <c r="N30" s="125"/>
      <c r="O30" s="125"/>
      <c r="P30" s="18"/>
    </row>
    <row r="31" spans="3:16" x14ac:dyDescent="0.3">
      <c r="C31" s="59"/>
      <c r="D31" s="174"/>
      <c r="E31" s="350">
        <v>12</v>
      </c>
      <c r="F31" s="187" t="s">
        <v>491</v>
      </c>
      <c r="G31" s="349" t="s">
        <v>1746</v>
      </c>
      <c r="H31" s="121"/>
      <c r="I31"/>
      <c r="J31" s="121">
        <v>50</v>
      </c>
      <c r="K31" s="125"/>
      <c r="L31" s="355" t="s">
        <v>1890</v>
      </c>
      <c r="M31" s="125"/>
      <c r="N31" s="125"/>
      <c r="O31" s="125"/>
      <c r="P31" s="18"/>
    </row>
    <row r="32" spans="3:16" x14ac:dyDescent="0.3">
      <c r="C32" s="59"/>
      <c r="D32" s="174"/>
      <c r="E32" s="350">
        <v>13</v>
      </c>
      <c r="F32" s="187" t="s">
        <v>492</v>
      </c>
      <c r="G32" s="349" t="s">
        <v>1759</v>
      </c>
      <c r="H32" s="191"/>
      <c r="I32" s="179"/>
      <c r="J32" s="191">
        <v>50</v>
      </c>
      <c r="K32" s="352"/>
      <c r="L32" s="275" t="s">
        <v>1836</v>
      </c>
      <c r="M32" s="125"/>
      <c r="N32" s="125"/>
      <c r="O32" s="125"/>
      <c r="P32" s="18"/>
    </row>
    <row r="33" spans="1:21" x14ac:dyDescent="0.3">
      <c r="C33" s="59"/>
      <c r="D33" s="174"/>
      <c r="E33" s="353">
        <v>14</v>
      </c>
      <c r="F33" s="187" t="s">
        <v>492</v>
      </c>
      <c r="G33" s="349" t="s">
        <v>1776</v>
      </c>
      <c r="H33" s="191"/>
      <c r="I33" s="179"/>
      <c r="J33" s="191">
        <v>50</v>
      </c>
      <c r="K33" s="200"/>
      <c r="L33" s="275" t="s">
        <v>1852</v>
      </c>
      <c r="M33" s="125"/>
      <c r="N33" s="125"/>
      <c r="O33" s="125"/>
      <c r="P33" s="18"/>
    </row>
    <row r="34" spans="1:21" x14ac:dyDescent="0.3">
      <c r="C34" s="59"/>
      <c r="D34" s="174"/>
      <c r="E34" s="356" t="s">
        <v>1837</v>
      </c>
      <c r="F34" s="187" t="s">
        <v>492</v>
      </c>
      <c r="G34" s="349" t="s">
        <v>1265</v>
      </c>
      <c r="H34" s="191"/>
      <c r="I34" s="179"/>
      <c r="J34" s="191">
        <v>50</v>
      </c>
      <c r="K34" s="200"/>
      <c r="L34" s="355" t="s">
        <v>1890</v>
      </c>
      <c r="M34" s="125"/>
      <c r="N34" s="125"/>
      <c r="O34" s="125"/>
      <c r="P34" s="18"/>
    </row>
    <row r="35" spans="1:21" x14ac:dyDescent="0.3">
      <c r="C35" s="59"/>
      <c r="D35" s="174"/>
      <c r="E35" s="347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8"/>
    </row>
    <row r="36" spans="1:21" x14ac:dyDescent="0.3">
      <c r="C36" s="59"/>
      <c r="D36" s="174"/>
      <c r="E36" s="180"/>
      <c r="F36" s="4"/>
      <c r="G36" s="179"/>
      <c r="H36" s="193"/>
      <c r="I36" s="181"/>
      <c r="J36" s="193"/>
      <c r="K36" s="200"/>
      <c r="L36" s="125"/>
      <c r="M36" s="125"/>
      <c r="N36" s="125"/>
      <c r="O36" s="125"/>
      <c r="P36" s="18"/>
    </row>
    <row r="37" spans="1:21" x14ac:dyDescent="0.3">
      <c r="C37" s="59"/>
      <c r="D37" s="174"/>
      <c r="E37" s="175"/>
      <c r="F37"/>
      <c r="G37" s="292" t="s">
        <v>1274</v>
      </c>
      <c r="H37" s="1"/>
      <c r="I37"/>
      <c r="J37" s="22">
        <f>SUM(J20:J34)</f>
        <v>1053</v>
      </c>
      <c r="K37" s="186" t="s">
        <v>924</v>
      </c>
      <c r="L37" s="125"/>
      <c r="M37" s="125"/>
      <c r="N37" s="125"/>
      <c r="O37" s="125"/>
      <c r="P37" s="18"/>
    </row>
    <row r="38" spans="1:21" x14ac:dyDescent="0.3">
      <c r="C38" s="59"/>
      <c r="D38" s="174"/>
      <c r="E38" s="175"/>
      <c r="F38"/>
      <c r="G38" s="181"/>
      <c r="H38" s="1"/>
      <c r="I38"/>
      <c r="J38" s="1"/>
      <c r="K38" s="125"/>
      <c r="L38" s="125"/>
      <c r="M38" s="125"/>
      <c r="N38" s="125"/>
      <c r="O38" s="125"/>
      <c r="P38" s="18"/>
    </row>
    <row r="39" spans="1:21" x14ac:dyDescent="0.3">
      <c r="C39" s="59"/>
      <c r="D39" s="5"/>
      <c r="E39" s="124"/>
      <c r="F39" s="3"/>
      <c r="H39" s="2"/>
      <c r="I39" s="41"/>
      <c r="J39" s="41"/>
      <c r="K39" s="41"/>
      <c r="L39" s="41"/>
      <c r="M39" s="41"/>
      <c r="N39" s="44"/>
    </row>
    <row r="40" spans="1:21" x14ac:dyDescent="0.3">
      <c r="C40" s="59"/>
      <c r="D40" s="5"/>
      <c r="E40" s="124"/>
      <c r="F40" s="3"/>
      <c r="H40" s="2"/>
      <c r="I40" s="41"/>
      <c r="J40" s="41"/>
      <c r="K40" s="41"/>
      <c r="L40" s="41"/>
      <c r="M40" s="41"/>
      <c r="N40" s="44"/>
    </row>
    <row r="41" spans="1:21" x14ac:dyDescent="0.3">
      <c r="A41" s="12"/>
      <c r="C41" s="29"/>
      <c r="D41" s="5"/>
      <c r="E41" s="124"/>
      <c r="F41" s="2"/>
      <c r="H41" s="2"/>
      <c r="I41" s="41"/>
      <c r="J41" s="41"/>
      <c r="K41" s="41"/>
      <c r="L41" s="41"/>
      <c r="M41" s="41"/>
      <c r="N41" s="44"/>
    </row>
    <row r="42" spans="1:21" x14ac:dyDescent="0.3">
      <c r="A42" s="28"/>
      <c r="B42" s="361"/>
      <c r="C42" s="29"/>
      <c r="D42" s="5" t="s">
        <v>112</v>
      </c>
      <c r="E42" s="124"/>
      <c r="F42" s="348"/>
      <c r="H42" s="2"/>
      <c r="I42" s="41"/>
      <c r="J42" s="41"/>
      <c r="K42" s="41"/>
      <c r="L42" s="41"/>
      <c r="M42" s="41"/>
      <c r="N42" s="44"/>
    </row>
    <row r="43" spans="1:21" x14ac:dyDescent="0.3">
      <c r="A43" s="28"/>
      <c r="B43" s="361"/>
      <c r="C43" s="29"/>
      <c r="D43" s="5" t="s">
        <v>113</v>
      </c>
      <c r="E43" s="124"/>
      <c r="F43" s="32"/>
      <c r="H43" s="2"/>
      <c r="I43" s="41"/>
      <c r="J43" s="41"/>
      <c r="K43" s="41"/>
      <c r="L43" s="78" t="s">
        <v>503</v>
      </c>
      <c r="M43" s="328">
        <f>'CASH BOOK 2021'!L336</f>
        <v>5725.5599999999868</v>
      </c>
      <c r="N43" s="44"/>
    </row>
    <row r="44" spans="1:21" x14ac:dyDescent="0.3">
      <c r="A44" s="12"/>
      <c r="C44" s="29"/>
      <c r="D44" s="11"/>
      <c r="E44" s="27"/>
      <c r="G44" s="11"/>
    </row>
    <row r="45" spans="1:21" s="23" customFormat="1" x14ac:dyDescent="0.3">
      <c r="A45" s="28" t="s">
        <v>495</v>
      </c>
      <c r="B45" s="361"/>
      <c r="C45" s="107" t="s">
        <v>496</v>
      </c>
      <c r="D45" s="74" t="s">
        <v>497</v>
      </c>
      <c r="E45" s="113" t="s">
        <v>498</v>
      </c>
      <c r="F45" s="22"/>
      <c r="G45" s="74"/>
      <c r="H45" s="22"/>
      <c r="I45" s="75" t="s">
        <v>502</v>
      </c>
      <c r="J45" s="75" t="s">
        <v>501</v>
      </c>
      <c r="K45" s="75" t="s">
        <v>56</v>
      </c>
      <c r="L45" s="75" t="s">
        <v>493</v>
      </c>
      <c r="M45" s="75"/>
      <c r="N45" s="76"/>
      <c r="P45" s="77"/>
      <c r="R45" s="74"/>
    </row>
    <row r="46" spans="1:21" x14ac:dyDescent="0.3">
      <c r="A46" s="12"/>
      <c r="C46" s="105" t="s">
        <v>482</v>
      </c>
      <c r="D46" s="214" t="s">
        <v>1794</v>
      </c>
      <c r="E46" s="132" t="s">
        <v>513</v>
      </c>
      <c r="F46" s="269" t="s">
        <v>1795</v>
      </c>
      <c r="G46" s="240" t="s">
        <v>2039</v>
      </c>
      <c r="H46" s="264"/>
      <c r="I46" s="327">
        <v>40</v>
      </c>
      <c r="J46" s="240"/>
      <c r="K46" s="270"/>
      <c r="L46" s="43">
        <f t="shared" ref="L46:L53" si="0">I46+K46</f>
        <v>40</v>
      </c>
      <c r="M46" s="43">
        <f>+M43+L46</f>
        <v>5765.5599999999868</v>
      </c>
      <c r="N46" s="18" t="s">
        <v>572</v>
      </c>
      <c r="U46"/>
    </row>
    <row r="47" spans="1:21" x14ac:dyDescent="0.3">
      <c r="A47" s="12"/>
      <c r="C47" s="105" t="s">
        <v>482</v>
      </c>
      <c r="D47" s="4" t="s">
        <v>58</v>
      </c>
      <c r="E47" s="132" t="s">
        <v>9</v>
      </c>
      <c r="F47" s="1" t="s">
        <v>937</v>
      </c>
      <c r="G47" s="240" t="s">
        <v>2039</v>
      </c>
      <c r="K47" s="396">
        <v>-155.07</v>
      </c>
      <c r="L47" s="396">
        <f t="shared" si="0"/>
        <v>-155.07</v>
      </c>
      <c r="M47" s="396">
        <f>+M46+L47</f>
        <v>5610.489999999987</v>
      </c>
      <c r="N47" s="18" t="s">
        <v>327</v>
      </c>
      <c r="U47"/>
    </row>
    <row r="48" spans="1:21" x14ac:dyDescent="0.3">
      <c r="A48" s="12"/>
      <c r="C48" s="105" t="s">
        <v>482</v>
      </c>
      <c r="D48" s="4" t="s">
        <v>58</v>
      </c>
      <c r="E48" s="133" t="s">
        <v>8</v>
      </c>
      <c r="F48" s="1" t="s">
        <v>937</v>
      </c>
      <c r="G48" s="240" t="s">
        <v>2039</v>
      </c>
      <c r="H48" s="33"/>
      <c r="I48" s="42"/>
      <c r="J48" s="171"/>
      <c r="K48" s="396">
        <v>-270.64</v>
      </c>
      <c r="L48" s="396">
        <f t="shared" si="0"/>
        <v>-270.64</v>
      </c>
      <c r="M48" s="43">
        <f t="shared" ref="M48:M90" si="1">+M47+L48</f>
        <v>5339.8499999999867</v>
      </c>
      <c r="N48" s="18" t="s">
        <v>2236</v>
      </c>
      <c r="U48"/>
    </row>
    <row r="49" spans="1:21" x14ac:dyDescent="0.3">
      <c r="A49" s="12"/>
      <c r="C49" s="105" t="s">
        <v>482</v>
      </c>
      <c r="D49" s="4" t="s">
        <v>299</v>
      </c>
      <c r="E49" s="133" t="s">
        <v>301</v>
      </c>
      <c r="F49" s="213" t="s">
        <v>1801</v>
      </c>
      <c r="G49" s="240" t="s">
        <v>2039</v>
      </c>
      <c r="H49" s="214"/>
      <c r="I49" s="215"/>
      <c r="J49" s="215"/>
      <c r="K49" s="396">
        <v>-44.94</v>
      </c>
      <c r="L49" s="396">
        <f t="shared" si="0"/>
        <v>-44.94</v>
      </c>
      <c r="M49" s="396">
        <f t="shared" si="1"/>
        <v>5294.9099999999871</v>
      </c>
      <c r="N49" s="18" t="s">
        <v>327</v>
      </c>
      <c r="U49"/>
    </row>
    <row r="50" spans="1:21" x14ac:dyDescent="0.3">
      <c r="A50" s="12"/>
      <c r="C50" s="105" t="s">
        <v>482</v>
      </c>
      <c r="D50" s="4" t="s">
        <v>607</v>
      </c>
      <c r="E50" s="133" t="s">
        <v>11</v>
      </c>
      <c r="F50" s="213" t="s">
        <v>1802</v>
      </c>
      <c r="G50" s="240" t="s">
        <v>2039</v>
      </c>
      <c r="H50" s="214"/>
      <c r="I50" s="215"/>
      <c r="J50" s="215"/>
      <c r="K50" s="232">
        <v>0</v>
      </c>
      <c r="L50" s="43">
        <f t="shared" si="0"/>
        <v>0</v>
      </c>
      <c r="M50" s="43">
        <f t="shared" si="1"/>
        <v>5294.9099999999871</v>
      </c>
      <c r="N50" s="18" t="s">
        <v>90</v>
      </c>
      <c r="U50"/>
    </row>
    <row r="51" spans="1:21" x14ac:dyDescent="0.3">
      <c r="A51" s="12"/>
      <c r="C51" s="105" t="s">
        <v>482</v>
      </c>
      <c r="D51" s="214" t="s">
        <v>1109</v>
      </c>
      <c r="E51" s="133" t="s">
        <v>12</v>
      </c>
      <c r="F51" s="213" t="s">
        <v>1802</v>
      </c>
      <c r="G51" s="240" t="s">
        <v>2039</v>
      </c>
      <c r="H51" s="214"/>
      <c r="I51" s="215"/>
      <c r="J51" s="215"/>
      <c r="K51" s="396">
        <v>-44.23</v>
      </c>
      <c r="L51" s="396">
        <f t="shared" si="0"/>
        <v>-44.23</v>
      </c>
      <c r="M51" s="43">
        <f t="shared" si="1"/>
        <v>5250.6799999999876</v>
      </c>
      <c r="N51" s="18" t="s">
        <v>2236</v>
      </c>
      <c r="U51"/>
    </row>
    <row r="52" spans="1:21" x14ac:dyDescent="0.3">
      <c r="A52" s="12"/>
      <c r="C52" s="105" t="s">
        <v>482</v>
      </c>
      <c r="D52" s="4" t="s">
        <v>48</v>
      </c>
      <c r="E52" s="133" t="s">
        <v>12</v>
      </c>
      <c r="F52" s="213" t="s">
        <v>1802</v>
      </c>
      <c r="G52" s="240" t="s">
        <v>2039</v>
      </c>
      <c r="H52" s="214"/>
      <c r="I52" s="215"/>
      <c r="J52" s="215"/>
      <c r="K52" s="396">
        <v>-119.22</v>
      </c>
      <c r="L52" s="396">
        <f t="shared" si="0"/>
        <v>-119.22</v>
      </c>
      <c r="M52" s="43">
        <f t="shared" si="1"/>
        <v>5131.4599999999873</v>
      </c>
      <c r="N52" s="18" t="s">
        <v>2236</v>
      </c>
      <c r="U52"/>
    </row>
    <row r="53" spans="1:21" x14ac:dyDescent="0.3">
      <c r="A53" s="12"/>
      <c r="C53" s="105" t="s">
        <v>482</v>
      </c>
      <c r="D53" s="4" t="s">
        <v>1544</v>
      </c>
      <c r="E53" s="133" t="s">
        <v>12</v>
      </c>
      <c r="F53" s="1" t="s">
        <v>1009</v>
      </c>
      <c r="G53" s="240" t="s">
        <v>2039</v>
      </c>
      <c r="K53" s="396">
        <v>-300.49</v>
      </c>
      <c r="L53" s="396">
        <f t="shared" si="0"/>
        <v>-300.49</v>
      </c>
      <c r="M53" s="43">
        <f t="shared" si="1"/>
        <v>4830.9699999999875</v>
      </c>
      <c r="N53" s="18" t="s">
        <v>2236</v>
      </c>
    </row>
    <row r="54" spans="1:21" x14ac:dyDescent="0.3">
      <c r="A54" s="12"/>
      <c r="C54" s="105" t="s">
        <v>482</v>
      </c>
      <c r="D54" s="214" t="s">
        <v>1315</v>
      </c>
      <c r="E54" s="132" t="s">
        <v>513</v>
      </c>
      <c r="F54" s="269" t="s">
        <v>1820</v>
      </c>
      <c r="G54" s="240" t="s">
        <v>2039</v>
      </c>
      <c r="H54" s="264"/>
      <c r="I54" s="327">
        <v>294</v>
      </c>
      <c r="J54" s="240"/>
      <c r="K54" s="396"/>
      <c r="L54" s="396">
        <f t="shared" ref="L54:L62" si="2">I54+K54</f>
        <v>294</v>
      </c>
      <c r="M54" s="43">
        <f t="shared" si="1"/>
        <v>5124.9699999999875</v>
      </c>
      <c r="N54" s="18" t="s">
        <v>90</v>
      </c>
    </row>
    <row r="55" spans="1:21" x14ac:dyDescent="0.3">
      <c r="A55" s="12"/>
      <c r="C55" s="105" t="s">
        <v>482</v>
      </c>
      <c r="D55" s="214" t="s">
        <v>670</v>
      </c>
      <c r="E55" s="132" t="s">
        <v>513</v>
      </c>
      <c r="F55" s="269" t="s">
        <v>1821</v>
      </c>
      <c r="G55" s="240" t="s">
        <v>2039</v>
      </c>
      <c r="H55" s="264"/>
      <c r="I55" s="327">
        <v>60</v>
      </c>
      <c r="J55" s="240"/>
      <c r="K55" s="396"/>
      <c r="L55" s="396">
        <f t="shared" si="2"/>
        <v>60</v>
      </c>
      <c r="M55" s="43">
        <f t="shared" si="1"/>
        <v>5184.9699999999875</v>
      </c>
      <c r="N55" s="18" t="s">
        <v>90</v>
      </c>
    </row>
    <row r="56" spans="1:21" x14ac:dyDescent="0.3">
      <c r="A56" s="12"/>
      <c r="C56" s="105" t="s">
        <v>482</v>
      </c>
      <c r="D56" s="214" t="s">
        <v>129</v>
      </c>
      <c r="E56" s="132" t="s">
        <v>513</v>
      </c>
      <c r="F56" s="269" t="s">
        <v>1822</v>
      </c>
      <c r="G56" s="240" t="s">
        <v>2039</v>
      </c>
      <c r="H56" s="264"/>
      <c r="I56" s="327">
        <v>472.5</v>
      </c>
      <c r="J56" s="240"/>
      <c r="K56" s="396"/>
      <c r="L56" s="396">
        <f t="shared" si="2"/>
        <v>472.5</v>
      </c>
      <c r="M56" s="43">
        <f t="shared" si="1"/>
        <v>5657.4699999999875</v>
      </c>
      <c r="N56" s="18" t="s">
        <v>90</v>
      </c>
    </row>
    <row r="57" spans="1:21" x14ac:dyDescent="0.3">
      <c r="A57" s="12"/>
      <c r="C57" s="105" t="s">
        <v>482</v>
      </c>
      <c r="D57" s="214" t="s">
        <v>475</v>
      </c>
      <c r="E57" s="132" t="s">
        <v>513</v>
      </c>
      <c r="F57" s="269" t="s">
        <v>1822</v>
      </c>
      <c r="G57" s="240" t="s">
        <v>2039</v>
      </c>
      <c r="H57" s="264"/>
      <c r="I57" s="327">
        <v>905.1</v>
      </c>
      <c r="J57" s="240"/>
      <c r="K57" s="396"/>
      <c r="L57" s="396">
        <f t="shared" si="2"/>
        <v>905.1</v>
      </c>
      <c r="M57" s="43">
        <f t="shared" si="1"/>
        <v>6562.5699999999879</v>
      </c>
      <c r="N57" s="18" t="s">
        <v>90</v>
      </c>
    </row>
    <row r="58" spans="1:21" x14ac:dyDescent="0.3">
      <c r="A58" s="12"/>
      <c r="C58" s="105" t="s">
        <v>482</v>
      </c>
      <c r="D58" s="214" t="s">
        <v>528</v>
      </c>
      <c r="E58" s="132" t="s">
        <v>513</v>
      </c>
      <c r="F58" s="269" t="s">
        <v>1822</v>
      </c>
      <c r="G58" s="240" t="s">
        <v>2039</v>
      </c>
      <c r="H58" s="264"/>
      <c r="I58" s="327">
        <v>226.8</v>
      </c>
      <c r="J58" s="240"/>
      <c r="K58" s="396"/>
      <c r="L58" s="396">
        <f t="shared" si="2"/>
        <v>226.8</v>
      </c>
      <c r="M58" s="43">
        <f t="shared" si="1"/>
        <v>6789.3699999999881</v>
      </c>
      <c r="N58" s="18" t="s">
        <v>90</v>
      </c>
      <c r="O58" s="43"/>
    </row>
    <row r="59" spans="1:21" x14ac:dyDescent="0.3">
      <c r="A59" s="12"/>
      <c r="C59" s="105" t="s">
        <v>482</v>
      </c>
      <c r="D59" s="214" t="s">
        <v>529</v>
      </c>
      <c r="E59" s="132" t="s">
        <v>513</v>
      </c>
      <c r="F59" s="269" t="s">
        <v>1822</v>
      </c>
      <c r="G59" s="240" t="s">
        <v>2039</v>
      </c>
      <c r="H59" s="264"/>
      <c r="I59" s="327">
        <v>648</v>
      </c>
      <c r="J59" s="240"/>
      <c r="K59" s="396"/>
      <c r="L59" s="396">
        <f t="shared" si="2"/>
        <v>648</v>
      </c>
      <c r="M59" s="43">
        <f t="shared" si="1"/>
        <v>7437.3699999999881</v>
      </c>
      <c r="N59" s="18" t="s">
        <v>90</v>
      </c>
      <c r="O59" s="43"/>
      <c r="P59"/>
    </row>
    <row r="60" spans="1:21" x14ac:dyDescent="0.3">
      <c r="A60" s="12"/>
      <c r="C60" s="105" t="s">
        <v>482</v>
      </c>
      <c r="D60" s="214" t="s">
        <v>1824</v>
      </c>
      <c r="E60" s="132" t="s">
        <v>512</v>
      </c>
      <c r="F60" s="269" t="s">
        <v>1825</v>
      </c>
      <c r="G60" s="240" t="s">
        <v>2039</v>
      </c>
      <c r="H60" s="264"/>
      <c r="I60" s="240">
        <v>110</v>
      </c>
      <c r="J60" s="240"/>
      <c r="K60" s="396"/>
      <c r="L60" s="396">
        <f t="shared" si="2"/>
        <v>110</v>
      </c>
      <c r="M60" s="43">
        <f t="shared" si="1"/>
        <v>7547.3699999999881</v>
      </c>
      <c r="N60" s="18" t="s">
        <v>90</v>
      </c>
      <c r="O60" s="43"/>
    </row>
    <row r="61" spans="1:21" x14ac:dyDescent="0.3">
      <c r="A61" s="12"/>
      <c r="C61" s="105" t="s">
        <v>482</v>
      </c>
      <c r="D61" s="214" t="s">
        <v>1313</v>
      </c>
      <c r="E61" s="132" t="s">
        <v>513</v>
      </c>
      <c r="F61" s="269" t="s">
        <v>1822</v>
      </c>
      <c r="G61" s="240" t="s">
        <v>2039</v>
      </c>
      <c r="H61" s="264"/>
      <c r="I61" s="327">
        <v>564</v>
      </c>
      <c r="J61" s="240"/>
      <c r="K61" s="396"/>
      <c r="L61" s="396">
        <f t="shared" si="2"/>
        <v>564</v>
      </c>
      <c r="M61" s="43">
        <f t="shared" si="1"/>
        <v>8111.3699999999881</v>
      </c>
      <c r="N61" s="18" t="s">
        <v>90</v>
      </c>
      <c r="O61" s="43"/>
    </row>
    <row r="62" spans="1:21" x14ac:dyDescent="0.3">
      <c r="A62" s="12"/>
      <c r="C62" s="105" t="s">
        <v>482</v>
      </c>
      <c r="D62" s="4" t="s">
        <v>141</v>
      </c>
      <c r="E62" s="132" t="s">
        <v>513</v>
      </c>
      <c r="F62" s="269" t="s">
        <v>1827</v>
      </c>
      <c r="G62" s="240" t="s">
        <v>2039</v>
      </c>
      <c r="H62" s="264"/>
      <c r="I62" s="327">
        <v>682.5</v>
      </c>
      <c r="J62" s="240"/>
      <c r="K62" s="396"/>
      <c r="L62" s="396">
        <f t="shared" si="2"/>
        <v>682.5</v>
      </c>
      <c r="M62" s="43">
        <f t="shared" si="1"/>
        <v>8793.8699999999881</v>
      </c>
      <c r="N62" s="18" t="s">
        <v>412</v>
      </c>
      <c r="O62" s="43"/>
    </row>
    <row r="63" spans="1:21" x14ac:dyDescent="0.3">
      <c r="A63" s="12"/>
      <c r="C63" s="105" t="s">
        <v>482</v>
      </c>
      <c r="D63" s="1" t="s">
        <v>351</v>
      </c>
      <c r="E63" s="132" t="s">
        <v>513</v>
      </c>
      <c r="F63" s="269" t="s">
        <v>1822</v>
      </c>
      <c r="G63" s="240" t="s">
        <v>2039</v>
      </c>
      <c r="H63" s="33"/>
      <c r="I63" s="321">
        <v>222.25</v>
      </c>
      <c r="J63" s="42"/>
      <c r="K63" s="396"/>
      <c r="L63" s="396">
        <f>I63+K63</f>
        <v>222.25</v>
      </c>
      <c r="M63" s="43">
        <f t="shared" si="1"/>
        <v>9016.1199999999881</v>
      </c>
      <c r="N63" s="18" t="s">
        <v>412</v>
      </c>
      <c r="O63" s="43"/>
      <c r="P63"/>
    </row>
    <row r="64" spans="1:21" x14ac:dyDescent="0.3">
      <c r="A64" s="12"/>
      <c r="C64" s="105" t="s">
        <v>482</v>
      </c>
      <c r="D64" s="4" t="s">
        <v>1829</v>
      </c>
      <c r="E64" s="132" t="s">
        <v>512</v>
      </c>
      <c r="F64" s="269" t="s">
        <v>1828</v>
      </c>
      <c r="G64" s="240" t="s">
        <v>2039</v>
      </c>
      <c r="H64" s="264"/>
      <c r="I64" s="240">
        <v>180</v>
      </c>
      <c r="J64" s="240"/>
      <c r="K64" s="396"/>
      <c r="L64" s="396">
        <f>I64+K64</f>
        <v>180</v>
      </c>
      <c r="M64" s="43">
        <f t="shared" si="1"/>
        <v>9196.1199999999881</v>
      </c>
      <c r="N64" s="18" t="s">
        <v>90</v>
      </c>
      <c r="O64" s="43"/>
      <c r="P64" s="252"/>
    </row>
    <row r="65" spans="1:23" x14ac:dyDescent="0.3">
      <c r="A65" s="12"/>
      <c r="C65" s="105" t="s">
        <v>482</v>
      </c>
      <c r="D65" s="4" t="s">
        <v>1830</v>
      </c>
      <c r="E65" s="132" t="s">
        <v>513</v>
      </c>
      <c r="F65" s="269" t="s">
        <v>1822</v>
      </c>
      <c r="G65" s="240" t="s">
        <v>2039</v>
      </c>
      <c r="H65" s="33"/>
      <c r="I65" s="321">
        <v>602</v>
      </c>
      <c r="J65" s="42"/>
      <c r="K65" s="396"/>
      <c r="L65" s="396">
        <f>I65+K65</f>
        <v>602</v>
      </c>
      <c r="M65" s="43">
        <f t="shared" si="1"/>
        <v>9798.1199999999881</v>
      </c>
      <c r="N65" s="18" t="s">
        <v>90</v>
      </c>
      <c r="O65" s="43"/>
      <c r="P65" s="15"/>
    </row>
    <row r="66" spans="1:23" x14ac:dyDescent="0.3">
      <c r="A66" s="12"/>
      <c r="C66" s="105" t="s">
        <v>482</v>
      </c>
      <c r="D66" s="4" t="s">
        <v>1831</v>
      </c>
      <c r="E66" s="132" t="s">
        <v>513</v>
      </c>
      <c r="F66" s="269" t="s">
        <v>1822</v>
      </c>
      <c r="G66" s="240" t="s">
        <v>2039</v>
      </c>
      <c r="H66" s="33"/>
      <c r="I66" s="321">
        <v>238</v>
      </c>
      <c r="J66" s="42"/>
      <c r="K66" s="396"/>
      <c r="L66" s="396">
        <f>I66+K66</f>
        <v>238</v>
      </c>
      <c r="M66" s="43">
        <f t="shared" si="1"/>
        <v>10036.119999999988</v>
      </c>
      <c r="N66" s="18" t="s">
        <v>90</v>
      </c>
      <c r="O66" s="43"/>
      <c r="P66" s="15"/>
    </row>
    <row r="67" spans="1:23" x14ac:dyDescent="0.3">
      <c r="A67" s="12"/>
      <c r="C67" s="105" t="s">
        <v>482</v>
      </c>
      <c r="D67" s="4" t="s">
        <v>142</v>
      </c>
      <c r="E67" s="132" t="s">
        <v>513</v>
      </c>
      <c r="F67" s="120" t="s">
        <v>1832</v>
      </c>
      <c r="G67" s="240" t="s">
        <v>2039</v>
      </c>
      <c r="H67" s="33"/>
      <c r="I67" s="321">
        <v>202.12</v>
      </c>
      <c r="J67" s="42"/>
      <c r="K67" s="396"/>
      <c r="L67" s="396">
        <f t="shared" ref="L67:L91" si="3">I67+K67</f>
        <v>202.12</v>
      </c>
      <c r="M67" s="43">
        <f t="shared" si="1"/>
        <v>10238.239999999989</v>
      </c>
      <c r="N67" s="18" t="s">
        <v>90</v>
      </c>
      <c r="O67" s="43"/>
      <c r="P67" s="15"/>
    </row>
    <row r="68" spans="1:23" x14ac:dyDescent="0.3">
      <c r="A68" s="12"/>
      <c r="C68" s="105" t="s">
        <v>482</v>
      </c>
      <c r="D68" s="4" t="s">
        <v>1833</v>
      </c>
      <c r="E68" s="132" t="s">
        <v>512</v>
      </c>
      <c r="F68" s="120" t="s">
        <v>1835</v>
      </c>
      <c r="G68" s="240" t="s">
        <v>2039</v>
      </c>
      <c r="H68" s="33"/>
      <c r="I68" s="42">
        <v>140</v>
      </c>
      <c r="J68" s="42"/>
      <c r="K68" s="396"/>
      <c r="L68" s="396">
        <f t="shared" si="3"/>
        <v>140</v>
      </c>
      <c r="M68" s="43">
        <f t="shared" si="1"/>
        <v>10378.239999999989</v>
      </c>
      <c r="N68" s="18" t="s">
        <v>412</v>
      </c>
      <c r="O68" s="43"/>
      <c r="P68" s="15"/>
    </row>
    <row r="69" spans="1:23" x14ac:dyDescent="0.3">
      <c r="A69" s="12"/>
      <c r="C69" s="105" t="s">
        <v>482</v>
      </c>
      <c r="D69" s="4" t="s">
        <v>1833</v>
      </c>
      <c r="E69" s="112" t="s">
        <v>500</v>
      </c>
      <c r="F69" s="121" t="s">
        <v>1293</v>
      </c>
      <c r="G69" s="240" t="s">
        <v>2039</v>
      </c>
      <c r="H69" s="264"/>
      <c r="I69" s="239">
        <v>50</v>
      </c>
      <c r="J69" s="42"/>
      <c r="K69" s="396"/>
      <c r="L69" s="396">
        <f t="shared" si="3"/>
        <v>50</v>
      </c>
      <c r="M69" s="43">
        <f t="shared" si="1"/>
        <v>10428.239999999989</v>
      </c>
      <c r="N69" s="18" t="s">
        <v>412</v>
      </c>
      <c r="O69" s="43"/>
      <c r="P69" s="15"/>
    </row>
    <row r="70" spans="1:23" x14ac:dyDescent="0.3">
      <c r="A70" s="12"/>
      <c r="C70" s="105" t="s">
        <v>482</v>
      </c>
      <c r="D70" s="214" t="s">
        <v>529</v>
      </c>
      <c r="E70" s="132" t="s">
        <v>513</v>
      </c>
      <c r="F70" s="120" t="s">
        <v>1834</v>
      </c>
      <c r="G70" s="240" t="s">
        <v>2039</v>
      </c>
      <c r="H70" s="33"/>
      <c r="I70" s="321">
        <v>320</v>
      </c>
      <c r="J70" s="42"/>
      <c r="K70" s="396"/>
      <c r="L70" s="396">
        <f t="shared" si="3"/>
        <v>320</v>
      </c>
      <c r="M70" s="43">
        <f t="shared" si="1"/>
        <v>10748.239999999989</v>
      </c>
      <c r="N70" s="18" t="s">
        <v>90</v>
      </c>
      <c r="O70" s="43"/>
      <c r="P70" s="15"/>
    </row>
    <row r="71" spans="1:23" x14ac:dyDescent="0.3">
      <c r="A71" s="12"/>
      <c r="C71" s="105" t="s">
        <v>482</v>
      </c>
      <c r="D71" s="4" t="s">
        <v>1759</v>
      </c>
      <c r="E71" s="112" t="s">
        <v>504</v>
      </c>
      <c r="F71" s="121" t="s">
        <v>1838</v>
      </c>
      <c r="G71" s="240" t="s">
        <v>2039</v>
      </c>
      <c r="H71" s="33"/>
      <c r="I71" s="42"/>
      <c r="J71" s="42"/>
      <c r="K71" s="396">
        <v>-50</v>
      </c>
      <c r="L71" s="396">
        <f t="shared" si="3"/>
        <v>-50</v>
      </c>
      <c r="M71" s="43">
        <f t="shared" si="1"/>
        <v>10698.239999999989</v>
      </c>
      <c r="N71" s="18" t="s">
        <v>90</v>
      </c>
      <c r="O71" s="43"/>
      <c r="P71" s="15"/>
    </row>
    <row r="72" spans="1:23" x14ac:dyDescent="0.3">
      <c r="A72" s="12"/>
      <c r="C72" s="105" t="s">
        <v>482</v>
      </c>
      <c r="D72" s="4" t="s">
        <v>1617</v>
      </c>
      <c r="E72" s="132" t="s">
        <v>512</v>
      </c>
      <c r="F72" s="120" t="s">
        <v>1839</v>
      </c>
      <c r="G72" s="240" t="s">
        <v>2039</v>
      </c>
      <c r="H72" s="33"/>
      <c r="I72" s="42">
        <v>60</v>
      </c>
      <c r="J72" s="42"/>
      <c r="K72" s="396"/>
      <c r="L72" s="396">
        <f t="shared" si="3"/>
        <v>60</v>
      </c>
      <c r="M72" s="43">
        <f t="shared" si="1"/>
        <v>10758.239999999989</v>
      </c>
      <c r="N72" s="18" t="s">
        <v>1873</v>
      </c>
      <c r="O72" s="43"/>
      <c r="P72" s="15"/>
    </row>
    <row r="73" spans="1:23" x14ac:dyDescent="0.3">
      <c r="A73" s="12"/>
      <c r="C73" s="105" t="s">
        <v>482</v>
      </c>
      <c r="D73" s="4" t="s">
        <v>1840</v>
      </c>
      <c r="E73" s="132" t="s">
        <v>512</v>
      </c>
      <c r="F73" s="33"/>
      <c r="G73" s="240" t="s">
        <v>2039</v>
      </c>
      <c r="H73" s="33"/>
      <c r="I73" s="42">
        <v>20</v>
      </c>
      <c r="J73" s="42"/>
      <c r="K73" s="396"/>
      <c r="L73" s="396">
        <f t="shared" si="3"/>
        <v>20</v>
      </c>
      <c r="M73" s="43">
        <f t="shared" si="1"/>
        <v>10778.239999999989</v>
      </c>
      <c r="N73" s="18" t="s">
        <v>90</v>
      </c>
      <c r="O73" s="43"/>
      <c r="P73" s="15"/>
    </row>
    <row r="74" spans="1:23" x14ac:dyDescent="0.3">
      <c r="A74" s="12"/>
      <c r="C74" s="105" t="s">
        <v>482</v>
      </c>
      <c r="D74" s="4" t="s">
        <v>1677</v>
      </c>
      <c r="E74" s="132" t="s">
        <v>512</v>
      </c>
      <c r="F74" s="120" t="s">
        <v>1856</v>
      </c>
      <c r="G74" s="240" t="s">
        <v>2039</v>
      </c>
      <c r="H74" s="33"/>
      <c r="I74" s="42">
        <v>50</v>
      </c>
      <c r="J74" s="42"/>
      <c r="K74" s="396"/>
      <c r="L74" s="396">
        <f t="shared" si="3"/>
        <v>50</v>
      </c>
      <c r="M74" s="43">
        <f t="shared" si="1"/>
        <v>10828.239999999989</v>
      </c>
      <c r="N74" s="18" t="s">
        <v>412</v>
      </c>
      <c r="O74" s="254" t="s">
        <v>1857</v>
      </c>
      <c r="P74" s="15"/>
    </row>
    <row r="75" spans="1:23" x14ac:dyDescent="0.3">
      <c r="A75" s="12"/>
      <c r="C75" s="105" t="s">
        <v>482</v>
      </c>
      <c r="D75" s="4" t="s">
        <v>1677</v>
      </c>
      <c r="E75" s="112" t="s">
        <v>500</v>
      </c>
      <c r="F75" s="121" t="s">
        <v>147</v>
      </c>
      <c r="G75" s="240" t="s">
        <v>2039</v>
      </c>
      <c r="H75" s="264"/>
      <c r="I75" s="239">
        <v>50</v>
      </c>
      <c r="J75" s="42"/>
      <c r="K75" s="396"/>
      <c r="L75" s="396">
        <f t="shared" si="3"/>
        <v>50</v>
      </c>
      <c r="M75" s="43">
        <f t="shared" si="1"/>
        <v>10878.239999999989</v>
      </c>
      <c r="N75" s="18" t="s">
        <v>412</v>
      </c>
      <c r="O75" s="43"/>
      <c r="P75" s="15"/>
      <c r="S75" s="30" t="s">
        <v>1799</v>
      </c>
      <c r="W75" s="15">
        <f>12400.74</f>
        <v>12400.74</v>
      </c>
    </row>
    <row r="76" spans="1:23" x14ac:dyDescent="0.3">
      <c r="A76" s="12"/>
      <c r="C76" s="105" t="s">
        <v>482</v>
      </c>
      <c r="D76" s="4" t="s">
        <v>1204</v>
      </c>
      <c r="E76" s="132" t="s">
        <v>512</v>
      </c>
      <c r="F76" s="120" t="s">
        <v>1841</v>
      </c>
      <c r="G76" s="240" t="s">
        <v>2039</v>
      </c>
      <c r="H76" s="33"/>
      <c r="I76" s="42">
        <v>160</v>
      </c>
      <c r="J76" s="42"/>
      <c r="K76" s="396"/>
      <c r="L76" s="396">
        <f t="shared" si="3"/>
        <v>160</v>
      </c>
      <c r="M76" s="43">
        <f t="shared" si="1"/>
        <v>11038.239999999989</v>
      </c>
      <c r="N76" s="18" t="s">
        <v>90</v>
      </c>
      <c r="O76" s="43"/>
      <c r="P76" s="15"/>
      <c r="S76" t="s">
        <v>584</v>
      </c>
    </row>
    <row r="77" spans="1:23" x14ac:dyDescent="0.3">
      <c r="A77" s="12"/>
      <c r="C77" s="105" t="s">
        <v>482</v>
      </c>
      <c r="D77" s="4" t="s">
        <v>1204</v>
      </c>
      <c r="E77" s="132" t="s">
        <v>512</v>
      </c>
      <c r="F77" s="33"/>
      <c r="G77" s="240" t="s">
        <v>2039</v>
      </c>
      <c r="H77" s="33"/>
      <c r="I77" s="42">
        <v>50</v>
      </c>
      <c r="J77" s="42"/>
      <c r="K77" s="396"/>
      <c r="L77" s="396">
        <f t="shared" si="3"/>
        <v>50</v>
      </c>
      <c r="M77" s="43">
        <f t="shared" si="1"/>
        <v>11088.239999999989</v>
      </c>
      <c r="N77" s="18" t="s">
        <v>572</v>
      </c>
      <c r="O77" s="43"/>
      <c r="P77" s="15"/>
      <c r="S77" t="s">
        <v>1531</v>
      </c>
      <c r="U77" t="s">
        <v>1864</v>
      </c>
      <c r="V77" s="4">
        <v>-1096</v>
      </c>
    </row>
    <row r="78" spans="1:23" x14ac:dyDescent="0.3">
      <c r="A78" s="12"/>
      <c r="C78" s="105" t="s">
        <v>482</v>
      </c>
      <c r="D78" s="4" t="s">
        <v>1204</v>
      </c>
      <c r="E78" s="112" t="s">
        <v>504</v>
      </c>
      <c r="F78" s="121" t="s">
        <v>1843</v>
      </c>
      <c r="G78" s="240" t="s">
        <v>2039</v>
      </c>
      <c r="H78" s="33"/>
      <c r="I78" s="42"/>
      <c r="J78" s="42"/>
      <c r="K78" s="396">
        <v>-50</v>
      </c>
      <c r="L78" s="396">
        <f t="shared" si="3"/>
        <v>-50</v>
      </c>
      <c r="M78" s="43">
        <f t="shared" si="1"/>
        <v>11038.239999999989</v>
      </c>
      <c r="N78" s="18" t="s">
        <v>572</v>
      </c>
      <c r="O78" s="43" t="s">
        <v>1842</v>
      </c>
      <c r="P78" s="15"/>
      <c r="S78" s="4" t="s">
        <v>1617</v>
      </c>
      <c r="U78" s="4" t="s">
        <v>1721</v>
      </c>
      <c r="V78" s="232">
        <v>60</v>
      </c>
      <c r="W78" s="4" t="s">
        <v>1342</v>
      </c>
    </row>
    <row r="79" spans="1:23" x14ac:dyDescent="0.3">
      <c r="A79" s="12"/>
      <c r="C79" s="105" t="s">
        <v>482</v>
      </c>
      <c r="D79" s="4" t="s">
        <v>1845</v>
      </c>
      <c r="E79" s="116" t="s">
        <v>621</v>
      </c>
      <c r="F79" s="120" t="s">
        <v>1846</v>
      </c>
      <c r="G79" s="240" t="s">
        <v>2039</v>
      </c>
      <c r="H79" s="33"/>
      <c r="I79" s="42"/>
      <c r="J79" s="42"/>
      <c r="K79" s="396">
        <v>-10</v>
      </c>
      <c r="L79" s="396">
        <f t="shared" ref="L79:L84" si="4">I79+K79</f>
        <v>-10</v>
      </c>
      <c r="M79" s="43">
        <f t="shared" si="1"/>
        <v>11028.239999999989</v>
      </c>
      <c r="N79" s="18" t="s">
        <v>90</v>
      </c>
      <c r="O79" s="43"/>
      <c r="P79" s="15"/>
      <c r="S79"/>
      <c r="V79" s="43"/>
      <c r="W79" s="11"/>
    </row>
    <row r="80" spans="1:23" x14ac:dyDescent="0.3">
      <c r="A80" s="12"/>
      <c r="C80" s="105" t="s">
        <v>482</v>
      </c>
      <c r="D80" s="4" t="s">
        <v>1847</v>
      </c>
      <c r="E80" s="132" t="s">
        <v>512</v>
      </c>
      <c r="F80" s="269" t="s">
        <v>1848</v>
      </c>
      <c r="G80" s="240" t="s">
        <v>2039</v>
      </c>
      <c r="H80" s="33"/>
      <c r="I80" s="42">
        <v>50</v>
      </c>
      <c r="J80" s="42"/>
      <c r="K80" s="396"/>
      <c r="L80" s="396">
        <f t="shared" si="4"/>
        <v>50</v>
      </c>
      <c r="M80" s="43">
        <f t="shared" si="1"/>
        <v>11078.239999999989</v>
      </c>
      <c r="N80" s="18" t="s">
        <v>412</v>
      </c>
      <c r="O80" s="43"/>
      <c r="P80" s="15"/>
      <c r="S80"/>
      <c r="W80" s="11"/>
    </row>
    <row r="81" spans="1:24" x14ac:dyDescent="0.3">
      <c r="A81" s="12"/>
      <c r="C81" s="105" t="s">
        <v>482</v>
      </c>
      <c r="D81" s="4" t="s">
        <v>1847</v>
      </c>
      <c r="E81" s="112" t="s">
        <v>500</v>
      </c>
      <c r="F81" s="121" t="s">
        <v>1295</v>
      </c>
      <c r="G81" s="240" t="s">
        <v>2039</v>
      </c>
      <c r="H81" s="264"/>
      <c r="I81" s="239">
        <v>50</v>
      </c>
      <c r="J81" s="42"/>
      <c r="K81" s="396"/>
      <c r="L81" s="396">
        <f>I81+K81</f>
        <v>50</v>
      </c>
      <c r="M81" s="43">
        <f t="shared" si="1"/>
        <v>11128.239999999989</v>
      </c>
      <c r="N81" s="18" t="s">
        <v>412</v>
      </c>
      <c r="O81" s="43"/>
      <c r="P81" s="15"/>
      <c r="S81" s="16"/>
      <c r="U81" s="11"/>
      <c r="V81" s="232"/>
    </row>
    <row r="82" spans="1:24" x14ac:dyDescent="0.3">
      <c r="A82" s="12"/>
      <c r="C82" s="105" t="s">
        <v>482</v>
      </c>
      <c r="D82" s="4" t="s">
        <v>1623</v>
      </c>
      <c r="E82" s="132" t="s">
        <v>513</v>
      </c>
      <c r="F82" s="120" t="s">
        <v>1854</v>
      </c>
      <c r="G82" s="240" t="s">
        <v>2039</v>
      </c>
      <c r="H82" s="33"/>
      <c r="I82" s="321">
        <v>206.5</v>
      </c>
      <c r="J82" s="42"/>
      <c r="K82" s="396"/>
      <c r="L82" s="396">
        <f t="shared" si="4"/>
        <v>206.5</v>
      </c>
      <c r="M82" s="43">
        <f t="shared" si="1"/>
        <v>11334.739999999989</v>
      </c>
      <c r="N82" s="18" t="s">
        <v>90</v>
      </c>
      <c r="O82" s="43"/>
      <c r="P82" s="15"/>
      <c r="T82" s="11"/>
    </row>
    <row r="83" spans="1:24" x14ac:dyDescent="0.3">
      <c r="A83" s="12"/>
      <c r="C83" s="105" t="s">
        <v>482</v>
      </c>
      <c r="D83" s="4" t="s">
        <v>1232</v>
      </c>
      <c r="E83" s="132" t="s">
        <v>512</v>
      </c>
      <c r="F83" s="120" t="s">
        <v>1849</v>
      </c>
      <c r="G83" s="240" t="s">
        <v>2039</v>
      </c>
      <c r="H83" s="33"/>
      <c r="I83" s="42">
        <v>20</v>
      </c>
      <c r="J83" s="42"/>
      <c r="K83" s="396"/>
      <c r="L83" s="396">
        <f t="shared" si="4"/>
        <v>20</v>
      </c>
      <c r="M83" s="43">
        <f t="shared" si="1"/>
        <v>11354.739999999989</v>
      </c>
      <c r="N83" s="18" t="s">
        <v>90</v>
      </c>
      <c r="O83" s="43"/>
      <c r="P83" s="15"/>
      <c r="S83" s="16"/>
      <c r="U83" s="11"/>
    </row>
    <row r="84" spans="1:24" x14ac:dyDescent="0.3">
      <c r="A84" s="12"/>
      <c r="C84" s="105" t="s">
        <v>482</v>
      </c>
      <c r="D84" s="4" t="s">
        <v>1850</v>
      </c>
      <c r="E84" s="132" t="s">
        <v>512</v>
      </c>
      <c r="F84" s="269" t="s">
        <v>1851</v>
      </c>
      <c r="G84" s="240" t="s">
        <v>2039</v>
      </c>
      <c r="H84" s="33"/>
      <c r="I84" s="42">
        <v>60</v>
      </c>
      <c r="J84" s="42"/>
      <c r="K84" s="396"/>
      <c r="L84" s="396">
        <f t="shared" si="4"/>
        <v>60</v>
      </c>
      <c r="M84" s="43">
        <f t="shared" si="1"/>
        <v>11414.739999999989</v>
      </c>
      <c r="N84" s="18" t="s">
        <v>90</v>
      </c>
      <c r="O84" s="43"/>
      <c r="P84" s="15"/>
      <c r="S84"/>
      <c r="V84" s="43"/>
      <c r="W84" s="11">
        <f>SUM(V77:V86)</f>
        <v>-1036</v>
      </c>
    </row>
    <row r="85" spans="1:24" x14ac:dyDescent="0.3">
      <c r="A85" s="12"/>
      <c r="C85" s="105" t="s">
        <v>482</v>
      </c>
      <c r="D85" s="4" t="s">
        <v>1850</v>
      </c>
      <c r="E85" s="112" t="s">
        <v>500</v>
      </c>
      <c r="F85" s="121" t="s">
        <v>1579</v>
      </c>
      <c r="G85" s="240" t="s">
        <v>2039</v>
      </c>
      <c r="H85" s="264"/>
      <c r="I85" s="239">
        <v>50</v>
      </c>
      <c r="J85" s="42"/>
      <c r="K85" s="396"/>
      <c r="L85" s="396">
        <f t="shared" ref="L85:L90" si="5">I85+K85</f>
        <v>50</v>
      </c>
      <c r="M85" s="43">
        <f t="shared" si="1"/>
        <v>11464.739999999989</v>
      </c>
      <c r="N85" s="18" t="s">
        <v>90</v>
      </c>
      <c r="O85" s="43"/>
      <c r="P85" s="15"/>
      <c r="S85"/>
      <c r="V85" s="43"/>
      <c r="W85" s="11"/>
    </row>
    <row r="86" spans="1:24" x14ac:dyDescent="0.3">
      <c r="A86" s="12"/>
      <c r="C86" s="105" t="s">
        <v>482</v>
      </c>
      <c r="D86" s="4" t="s">
        <v>1776</v>
      </c>
      <c r="E86" s="112" t="s">
        <v>504</v>
      </c>
      <c r="F86" s="121" t="s">
        <v>1853</v>
      </c>
      <c r="G86" s="240" t="s">
        <v>2039</v>
      </c>
      <c r="H86" s="33"/>
      <c r="I86" s="42"/>
      <c r="J86" s="42"/>
      <c r="K86" s="396">
        <v>-50</v>
      </c>
      <c r="L86" s="396">
        <f t="shared" si="5"/>
        <v>-50</v>
      </c>
      <c r="M86" s="43">
        <f t="shared" si="1"/>
        <v>11414.739999999989</v>
      </c>
      <c r="N86" s="18" t="s">
        <v>90</v>
      </c>
      <c r="O86" s="43"/>
      <c r="P86" s="15"/>
      <c r="S86" t="s">
        <v>1215</v>
      </c>
      <c r="V86" s="43"/>
      <c r="W86" s="74">
        <f>W75+W84</f>
        <v>11364.74</v>
      </c>
      <c r="X86" t="s">
        <v>588</v>
      </c>
    </row>
    <row r="87" spans="1:24" x14ac:dyDescent="0.3">
      <c r="A87" s="12"/>
      <c r="C87" s="105" t="s">
        <v>482</v>
      </c>
      <c r="D87" s="4" t="s">
        <v>1731</v>
      </c>
      <c r="E87" s="112" t="s">
        <v>500</v>
      </c>
      <c r="F87" s="121" t="s">
        <v>1855</v>
      </c>
      <c r="G87" s="240" t="s">
        <v>2039</v>
      </c>
      <c r="H87" s="264"/>
      <c r="I87" s="239">
        <v>50</v>
      </c>
      <c r="J87" s="42"/>
      <c r="K87" s="396"/>
      <c r="L87" s="396">
        <f t="shared" si="5"/>
        <v>50</v>
      </c>
      <c r="M87" s="43">
        <f t="shared" si="1"/>
        <v>11464.739999999989</v>
      </c>
      <c r="N87" s="18" t="s">
        <v>90</v>
      </c>
      <c r="O87" s="43"/>
      <c r="P87" s="15"/>
      <c r="S87"/>
    </row>
    <row r="88" spans="1:24" x14ac:dyDescent="0.3">
      <c r="A88" s="12"/>
      <c r="C88" s="105" t="s">
        <v>482</v>
      </c>
      <c r="D88" s="4" t="s">
        <v>1232</v>
      </c>
      <c r="E88" s="112" t="s">
        <v>504</v>
      </c>
      <c r="F88" s="121" t="s">
        <v>1859</v>
      </c>
      <c r="G88" s="240" t="s">
        <v>2039</v>
      </c>
      <c r="H88" s="33"/>
      <c r="I88" s="42"/>
      <c r="J88" s="42"/>
      <c r="K88" s="396">
        <v>-50</v>
      </c>
      <c r="L88" s="396">
        <f t="shared" si="5"/>
        <v>-50</v>
      </c>
      <c r="M88" s="43">
        <f t="shared" si="1"/>
        <v>11414.739999999989</v>
      </c>
      <c r="N88" s="18" t="s">
        <v>90</v>
      </c>
      <c r="O88" s="43"/>
      <c r="P88" s="15"/>
      <c r="S88"/>
    </row>
    <row r="89" spans="1:24" x14ac:dyDescent="0.3">
      <c r="A89" s="12"/>
      <c r="C89" s="105" t="s">
        <v>482</v>
      </c>
      <c r="D89" s="4" t="s">
        <v>1850</v>
      </c>
      <c r="E89" s="112" t="s">
        <v>504</v>
      </c>
      <c r="F89" s="121" t="s">
        <v>980</v>
      </c>
      <c r="G89" s="240" t="s">
        <v>2039</v>
      </c>
      <c r="H89" s="33"/>
      <c r="I89" s="42"/>
      <c r="J89" s="42"/>
      <c r="K89" s="396">
        <v>-50</v>
      </c>
      <c r="L89" s="396">
        <f t="shared" si="5"/>
        <v>-50</v>
      </c>
      <c r="M89" s="75">
        <f t="shared" si="1"/>
        <v>11364.739999999989</v>
      </c>
      <c r="N89" s="18" t="s">
        <v>90</v>
      </c>
      <c r="O89" s="43"/>
      <c r="P89" s="15"/>
      <c r="S89"/>
    </row>
    <row r="90" spans="1:24" x14ac:dyDescent="0.3">
      <c r="A90" s="12"/>
      <c r="C90" s="105" t="s">
        <v>482</v>
      </c>
      <c r="D90" s="4"/>
      <c r="E90" s="114" t="s">
        <v>2039</v>
      </c>
      <c r="F90" s="33"/>
      <c r="G90" s="240" t="s">
        <v>2039</v>
      </c>
      <c r="H90" s="33"/>
      <c r="I90" s="42"/>
      <c r="J90" s="42"/>
      <c r="K90" s="396"/>
      <c r="L90" s="396">
        <f t="shared" si="5"/>
        <v>0</v>
      </c>
      <c r="M90" s="43">
        <f t="shared" si="1"/>
        <v>11364.739999999989</v>
      </c>
      <c r="O90" s="43"/>
      <c r="V90" s="74"/>
      <c r="W90"/>
    </row>
    <row r="91" spans="1:24" x14ac:dyDescent="0.3">
      <c r="A91" s="28" t="s">
        <v>78</v>
      </c>
      <c r="B91" s="361"/>
      <c r="C91" s="105" t="s">
        <v>483</v>
      </c>
      <c r="D91" s="4" t="s">
        <v>58</v>
      </c>
      <c r="E91" s="132" t="s">
        <v>9</v>
      </c>
      <c r="F91" s="1" t="s">
        <v>1009</v>
      </c>
      <c r="G91" s="240" t="s">
        <v>2039</v>
      </c>
      <c r="K91" s="396">
        <v>-200.88</v>
      </c>
      <c r="L91" s="396">
        <f t="shared" si="3"/>
        <v>-200.88</v>
      </c>
      <c r="M91" s="43">
        <f>M90+L91</f>
        <v>11163.85999999999</v>
      </c>
      <c r="N91" s="18" t="s">
        <v>327</v>
      </c>
      <c r="O91" s="43"/>
      <c r="T91" s="11"/>
    </row>
    <row r="92" spans="1:24" x14ac:dyDescent="0.3">
      <c r="C92" s="105" t="s">
        <v>483</v>
      </c>
      <c r="D92" s="4" t="s">
        <v>58</v>
      </c>
      <c r="E92" s="133" t="s">
        <v>8</v>
      </c>
      <c r="F92" s="1" t="s">
        <v>1009</v>
      </c>
      <c r="G92" s="240" t="s">
        <v>2039</v>
      </c>
      <c r="H92" s="33"/>
      <c r="I92" s="42"/>
      <c r="J92" s="171"/>
      <c r="K92" s="396">
        <v>-354.37</v>
      </c>
      <c r="L92" s="396">
        <f t="shared" ref="L92:L101" si="6">I92+K92</f>
        <v>-354.37</v>
      </c>
      <c r="M92" s="43">
        <f t="shared" ref="M92:M185" si="7">M91+L92</f>
        <v>10809.489999999989</v>
      </c>
      <c r="N92" s="18" t="s">
        <v>2236</v>
      </c>
      <c r="O92" s="43"/>
    </row>
    <row r="93" spans="1:24" x14ac:dyDescent="0.3">
      <c r="A93" s="28"/>
      <c r="B93" s="361"/>
      <c r="C93" s="105" t="s">
        <v>483</v>
      </c>
      <c r="D93" s="4" t="s">
        <v>299</v>
      </c>
      <c r="E93" s="133" t="s">
        <v>301</v>
      </c>
      <c r="F93" s="213" t="s">
        <v>1801</v>
      </c>
      <c r="G93" s="240" t="s">
        <v>2039</v>
      </c>
      <c r="H93" s="214"/>
      <c r="I93" s="215"/>
      <c r="J93" s="215"/>
      <c r="K93" s="396">
        <v>-44.94</v>
      </c>
      <c r="L93" s="396">
        <f t="shared" si="6"/>
        <v>-44.94</v>
      </c>
      <c r="M93" s="43">
        <f t="shared" si="7"/>
        <v>10764.549999999988</v>
      </c>
      <c r="N93" s="18" t="s">
        <v>327</v>
      </c>
      <c r="O93" s="43"/>
    </row>
    <row r="94" spans="1:24" x14ac:dyDescent="0.3">
      <c r="A94" s="28"/>
      <c r="B94" s="361"/>
      <c r="C94" s="105" t="s">
        <v>483</v>
      </c>
      <c r="D94" s="4" t="s">
        <v>607</v>
      </c>
      <c r="E94" s="133" t="s">
        <v>11</v>
      </c>
      <c r="F94" s="213" t="s">
        <v>1802</v>
      </c>
      <c r="G94" s="240" t="s">
        <v>2039</v>
      </c>
      <c r="H94" s="214"/>
      <c r="I94" s="215"/>
      <c r="J94" s="215"/>
      <c r="K94" s="396">
        <v>-29.54</v>
      </c>
      <c r="L94" s="396">
        <f t="shared" si="6"/>
        <v>-29.54</v>
      </c>
      <c r="M94" s="43">
        <f t="shared" si="7"/>
        <v>10735.009999999987</v>
      </c>
      <c r="N94" s="18" t="s">
        <v>49</v>
      </c>
      <c r="O94" s="43"/>
    </row>
    <row r="95" spans="1:24" x14ac:dyDescent="0.3">
      <c r="A95" s="28"/>
      <c r="B95" s="361"/>
      <c r="C95" s="105" t="s">
        <v>483</v>
      </c>
      <c r="D95" s="354" t="s">
        <v>1109</v>
      </c>
      <c r="E95" s="133" t="s">
        <v>12</v>
      </c>
      <c r="F95" s="213" t="s">
        <v>1802</v>
      </c>
      <c r="G95" s="240" t="s">
        <v>2039</v>
      </c>
      <c r="H95" s="214"/>
      <c r="I95" s="215"/>
      <c r="J95" s="215"/>
      <c r="K95" s="396">
        <v>-39.43</v>
      </c>
      <c r="L95" s="396">
        <f t="shared" si="6"/>
        <v>-39.43</v>
      </c>
      <c r="M95" s="43">
        <f t="shared" si="7"/>
        <v>10695.579999999987</v>
      </c>
      <c r="N95" s="18" t="s">
        <v>2236</v>
      </c>
      <c r="O95" s="43"/>
    </row>
    <row r="96" spans="1:24" x14ac:dyDescent="0.3">
      <c r="A96" s="28"/>
      <c r="B96" s="361"/>
      <c r="C96" s="105" t="s">
        <v>483</v>
      </c>
      <c r="D96" s="4" t="s">
        <v>48</v>
      </c>
      <c r="E96" s="133" t="s">
        <v>12</v>
      </c>
      <c r="F96" s="213" t="s">
        <v>1802</v>
      </c>
      <c r="G96" s="240" t="s">
        <v>2039</v>
      </c>
      <c r="H96" s="214"/>
      <c r="I96" s="215"/>
      <c r="J96" s="215"/>
      <c r="K96" s="396">
        <v>-72.42</v>
      </c>
      <c r="L96" s="396">
        <f t="shared" si="6"/>
        <v>-72.42</v>
      </c>
      <c r="M96" s="43">
        <f t="shared" si="7"/>
        <v>10623.159999999987</v>
      </c>
      <c r="N96" s="18" t="s">
        <v>2236</v>
      </c>
      <c r="O96" s="43"/>
    </row>
    <row r="97" spans="1:26" x14ac:dyDescent="0.3">
      <c r="A97" s="28"/>
      <c r="B97" s="361"/>
      <c r="C97" s="105" t="s">
        <v>483</v>
      </c>
      <c r="D97" s="4" t="s">
        <v>1544</v>
      </c>
      <c r="E97" s="133" t="s">
        <v>12</v>
      </c>
      <c r="F97" s="1" t="s">
        <v>747</v>
      </c>
      <c r="G97" s="240" t="s">
        <v>2039</v>
      </c>
      <c r="K97" s="396">
        <v>-225</v>
      </c>
      <c r="L97" s="396">
        <f t="shared" si="6"/>
        <v>-225</v>
      </c>
      <c r="M97" s="43">
        <f t="shared" si="7"/>
        <v>10398.159999999987</v>
      </c>
      <c r="N97" s="18" t="s">
        <v>2236</v>
      </c>
      <c r="O97" s="43"/>
    </row>
    <row r="98" spans="1:26" x14ac:dyDescent="0.3">
      <c r="C98" s="105" t="s">
        <v>483</v>
      </c>
      <c r="D98" s="354" t="s">
        <v>670</v>
      </c>
      <c r="E98" s="132" t="s">
        <v>513</v>
      </c>
      <c r="F98" s="269" t="s">
        <v>1866</v>
      </c>
      <c r="G98" s="240" t="s">
        <v>2039</v>
      </c>
      <c r="H98" s="264"/>
      <c r="I98" s="327">
        <v>60</v>
      </c>
      <c r="J98" s="240"/>
      <c r="K98" s="396"/>
      <c r="L98" s="396">
        <f t="shared" si="6"/>
        <v>60</v>
      </c>
      <c r="M98" s="43">
        <f t="shared" si="7"/>
        <v>10458.159999999987</v>
      </c>
      <c r="N98" s="18" t="s">
        <v>90</v>
      </c>
      <c r="O98" s="43"/>
    </row>
    <row r="99" spans="1:26" x14ac:dyDescent="0.3">
      <c r="C99" s="105" t="s">
        <v>483</v>
      </c>
      <c r="D99" s="4" t="s">
        <v>663</v>
      </c>
      <c r="E99" s="132" t="s">
        <v>512</v>
      </c>
      <c r="F99" s="269" t="s">
        <v>1861</v>
      </c>
      <c r="G99" s="240" t="s">
        <v>2039</v>
      </c>
      <c r="H99" s="264"/>
      <c r="I99" s="240">
        <v>100</v>
      </c>
      <c r="J99" s="240"/>
      <c r="K99" s="396"/>
      <c r="L99" s="396">
        <f t="shared" si="6"/>
        <v>100</v>
      </c>
      <c r="M99" s="43">
        <f t="shared" si="7"/>
        <v>10558.159999999987</v>
      </c>
      <c r="N99" s="18" t="s">
        <v>412</v>
      </c>
      <c r="O99" s="43"/>
    </row>
    <row r="100" spans="1:26" x14ac:dyDescent="0.3">
      <c r="C100" s="105" t="s">
        <v>483</v>
      </c>
      <c r="D100" s="4" t="s">
        <v>663</v>
      </c>
      <c r="E100" s="112" t="s">
        <v>500</v>
      </c>
      <c r="F100" s="121" t="s">
        <v>1597</v>
      </c>
      <c r="G100" s="240" t="s">
        <v>2039</v>
      </c>
      <c r="H100" s="264"/>
      <c r="I100" s="239">
        <v>50</v>
      </c>
      <c r="J100" s="42"/>
      <c r="K100" s="396"/>
      <c r="L100" s="396">
        <f t="shared" si="6"/>
        <v>50</v>
      </c>
      <c r="M100" s="43">
        <f t="shared" si="7"/>
        <v>10608.159999999987</v>
      </c>
      <c r="N100" s="18" t="s">
        <v>412</v>
      </c>
    </row>
    <row r="101" spans="1:26" x14ac:dyDescent="0.3">
      <c r="A101" s="12"/>
      <c r="C101" s="105" t="s">
        <v>483</v>
      </c>
      <c r="D101" s="4" t="s">
        <v>842</v>
      </c>
      <c r="E101" s="132" t="s">
        <v>512</v>
      </c>
      <c r="F101" s="269" t="s">
        <v>1860</v>
      </c>
      <c r="G101" s="240" t="s">
        <v>2039</v>
      </c>
      <c r="H101" s="264"/>
      <c r="I101" s="240">
        <v>15</v>
      </c>
      <c r="J101" s="240"/>
      <c r="K101" s="396"/>
      <c r="L101" s="396">
        <f t="shared" si="6"/>
        <v>15</v>
      </c>
      <c r="M101" s="43">
        <f t="shared" si="7"/>
        <v>10623.159999999987</v>
      </c>
      <c r="N101" s="18" t="s">
        <v>90</v>
      </c>
    </row>
    <row r="102" spans="1:26" x14ac:dyDescent="0.3">
      <c r="A102" s="12"/>
      <c r="C102" s="105" t="s">
        <v>483</v>
      </c>
      <c r="E102" s="114" t="s">
        <v>2039</v>
      </c>
      <c r="G102" s="240" t="s">
        <v>2039</v>
      </c>
      <c r="H102" s="264"/>
      <c r="I102" s="240"/>
      <c r="J102" s="240"/>
      <c r="K102" s="396"/>
      <c r="L102" s="396">
        <f t="shared" ref="L102:L117" si="8">I102+K102</f>
        <v>0</v>
      </c>
      <c r="M102" s="43">
        <f t="shared" ref="M102:M119" si="9">M101+L102</f>
        <v>10623.159999999987</v>
      </c>
      <c r="S102" s="30" t="s">
        <v>1800</v>
      </c>
    </row>
    <row r="103" spans="1:26" x14ac:dyDescent="0.3">
      <c r="A103" s="12"/>
      <c r="C103" s="105" t="s">
        <v>483</v>
      </c>
      <c r="D103" s="4" t="s">
        <v>1862</v>
      </c>
      <c r="E103" s="132" t="s">
        <v>512</v>
      </c>
      <c r="F103" s="269" t="s">
        <v>1863</v>
      </c>
      <c r="G103" s="240" t="s">
        <v>2039</v>
      </c>
      <c r="H103" s="264"/>
      <c r="I103" s="240">
        <v>60</v>
      </c>
      <c r="J103" s="240"/>
      <c r="K103" s="396"/>
      <c r="L103" s="396">
        <f t="shared" si="8"/>
        <v>60</v>
      </c>
      <c r="M103" s="43">
        <f t="shared" si="9"/>
        <v>10683.159999999987</v>
      </c>
      <c r="N103" s="18" t="s">
        <v>412</v>
      </c>
      <c r="S103" t="s">
        <v>584</v>
      </c>
      <c r="W103" s="15">
        <f>10376.26</f>
        <v>10376.26</v>
      </c>
    </row>
    <row r="104" spans="1:26" x14ac:dyDescent="0.3">
      <c r="A104" s="12"/>
      <c r="C104" s="105" t="s">
        <v>483</v>
      </c>
      <c r="D104" s="4" t="s">
        <v>1862</v>
      </c>
      <c r="E104" s="112" t="s">
        <v>500</v>
      </c>
      <c r="F104" s="121" t="s">
        <v>209</v>
      </c>
      <c r="G104" s="240" t="s">
        <v>2039</v>
      </c>
      <c r="H104" s="264"/>
      <c r="I104" s="239">
        <v>50</v>
      </c>
      <c r="J104" s="240"/>
      <c r="K104" s="396"/>
      <c r="L104" s="396">
        <f t="shared" si="8"/>
        <v>50</v>
      </c>
      <c r="M104" s="43">
        <f t="shared" si="9"/>
        <v>10733.159999999987</v>
      </c>
      <c r="N104" s="18" t="s">
        <v>412</v>
      </c>
      <c r="S104"/>
      <c r="V104" s="43"/>
    </row>
    <row r="105" spans="1:26" x14ac:dyDescent="0.3">
      <c r="A105" s="12"/>
      <c r="C105" s="105" t="s">
        <v>483</v>
      </c>
      <c r="D105" s="4" t="s">
        <v>174</v>
      </c>
      <c r="E105" s="132" t="s">
        <v>513</v>
      </c>
      <c r="F105" s="269" t="s">
        <v>1865</v>
      </c>
      <c r="G105" s="240" t="s">
        <v>2039</v>
      </c>
      <c r="H105" s="264"/>
      <c r="I105" s="327">
        <v>3528</v>
      </c>
      <c r="J105" s="240"/>
      <c r="K105" s="396"/>
      <c r="L105" s="396">
        <f t="shared" si="8"/>
        <v>3528</v>
      </c>
      <c r="M105" s="43">
        <f t="shared" si="9"/>
        <v>14261.159999999987</v>
      </c>
      <c r="N105" s="18" t="s">
        <v>90</v>
      </c>
      <c r="S105" t="s">
        <v>1531</v>
      </c>
      <c r="U105" t="s">
        <v>1864</v>
      </c>
      <c r="V105" s="4">
        <v>-1096</v>
      </c>
      <c r="W105" s="4" t="s">
        <v>1895</v>
      </c>
      <c r="X105"/>
    </row>
    <row r="106" spans="1:26" x14ac:dyDescent="0.3">
      <c r="A106" s="12"/>
      <c r="C106" s="105" t="s">
        <v>483</v>
      </c>
      <c r="D106" s="4" t="s">
        <v>1879</v>
      </c>
      <c r="E106" s="132" t="s">
        <v>512</v>
      </c>
      <c r="F106" s="269" t="s">
        <v>1871</v>
      </c>
      <c r="G106" s="240" t="s">
        <v>2039</v>
      </c>
      <c r="H106" s="264"/>
      <c r="I106" s="240">
        <v>180</v>
      </c>
      <c r="J106" s="240"/>
      <c r="K106" s="396"/>
      <c r="L106" s="396">
        <f t="shared" si="8"/>
        <v>180</v>
      </c>
      <c r="M106" s="43">
        <f t="shared" si="9"/>
        <v>14441.159999999987</v>
      </c>
      <c r="N106" s="18" t="s">
        <v>412</v>
      </c>
      <c r="O106"/>
      <c r="S106" s="4"/>
      <c r="T106" s="244"/>
      <c r="U106" s="4"/>
      <c r="V106" s="11"/>
      <c r="W106" s="11"/>
      <c r="X106"/>
    </row>
    <row r="107" spans="1:26" x14ac:dyDescent="0.3">
      <c r="A107" s="12"/>
      <c r="C107" s="105" t="s">
        <v>483</v>
      </c>
      <c r="D107" s="4" t="s">
        <v>1879</v>
      </c>
      <c r="E107" s="112" t="s">
        <v>500</v>
      </c>
      <c r="F107" s="121" t="s">
        <v>1327</v>
      </c>
      <c r="G107" s="240" t="s">
        <v>2039</v>
      </c>
      <c r="H107" s="264"/>
      <c r="I107" s="239">
        <v>50</v>
      </c>
      <c r="J107" s="240"/>
      <c r="K107" s="396"/>
      <c r="L107" s="396">
        <f t="shared" si="8"/>
        <v>50</v>
      </c>
      <c r="M107" s="43">
        <f t="shared" si="9"/>
        <v>14491.159999999987</v>
      </c>
      <c r="N107" s="18" t="s">
        <v>412</v>
      </c>
      <c r="S107"/>
      <c r="V107" s="11"/>
      <c r="W107"/>
      <c r="X107"/>
      <c r="Z107" s="57"/>
    </row>
    <row r="108" spans="1:26" x14ac:dyDescent="0.3">
      <c r="A108" s="12"/>
      <c r="C108" s="105" t="s">
        <v>483</v>
      </c>
      <c r="D108" s="4" t="s">
        <v>1872</v>
      </c>
      <c r="E108" s="132" t="s">
        <v>512</v>
      </c>
      <c r="F108" s="269" t="s">
        <v>1875</v>
      </c>
      <c r="G108" s="240" t="s">
        <v>2039</v>
      </c>
      <c r="H108" s="264"/>
      <c r="I108" s="240">
        <v>20</v>
      </c>
      <c r="J108" s="240"/>
      <c r="K108" s="396"/>
      <c r="L108" s="396">
        <f t="shared" si="8"/>
        <v>20</v>
      </c>
      <c r="M108" s="43">
        <f t="shared" si="9"/>
        <v>14511.159999999987</v>
      </c>
      <c r="N108" s="18" t="s">
        <v>90</v>
      </c>
      <c r="S108"/>
      <c r="T108"/>
      <c r="U108"/>
      <c r="V108" s="4"/>
      <c r="W108"/>
    </row>
    <row r="109" spans="1:26" x14ac:dyDescent="0.3">
      <c r="A109" s="12"/>
      <c r="C109" s="105" t="s">
        <v>483</v>
      </c>
      <c r="D109" s="4" t="s">
        <v>346</v>
      </c>
      <c r="E109" s="132" t="s">
        <v>513</v>
      </c>
      <c r="F109" s="269" t="s">
        <v>1874</v>
      </c>
      <c r="G109" s="240" t="s">
        <v>2039</v>
      </c>
      <c r="H109" s="264"/>
      <c r="I109" s="327">
        <v>326</v>
      </c>
      <c r="J109" s="240"/>
      <c r="K109" s="396"/>
      <c r="L109" s="396">
        <f t="shared" si="8"/>
        <v>326</v>
      </c>
      <c r="M109" s="43">
        <f t="shared" si="9"/>
        <v>14837.159999999987</v>
      </c>
      <c r="N109" s="18" t="s">
        <v>90</v>
      </c>
      <c r="W109"/>
    </row>
    <row r="110" spans="1:26" x14ac:dyDescent="0.3">
      <c r="A110" s="12"/>
      <c r="C110" s="105" t="s">
        <v>483</v>
      </c>
      <c r="D110" s="4" t="s">
        <v>1847</v>
      </c>
      <c r="E110" s="112" t="s">
        <v>504</v>
      </c>
      <c r="F110" s="121" t="s">
        <v>981</v>
      </c>
      <c r="G110" s="240" t="s">
        <v>2039</v>
      </c>
      <c r="H110" s="33"/>
      <c r="I110" s="42"/>
      <c r="J110" s="42"/>
      <c r="K110" s="396">
        <v>-50</v>
      </c>
      <c r="L110" s="396">
        <f t="shared" si="8"/>
        <v>-50</v>
      </c>
      <c r="M110" s="43">
        <f t="shared" si="9"/>
        <v>14787.159999999987</v>
      </c>
      <c r="N110" s="18" t="s">
        <v>90</v>
      </c>
      <c r="S110"/>
      <c r="T110"/>
      <c r="U110"/>
      <c r="V110" s="4"/>
      <c r="W110" s="4">
        <f>SUM(V105:V108)</f>
        <v>-1096</v>
      </c>
    </row>
    <row r="111" spans="1:26" x14ac:dyDescent="0.3">
      <c r="A111" s="12"/>
      <c r="C111" s="105" t="s">
        <v>483</v>
      </c>
      <c r="D111" s="4" t="s">
        <v>1829</v>
      </c>
      <c r="E111" s="132" t="s">
        <v>512</v>
      </c>
      <c r="F111" s="269" t="s">
        <v>1876</v>
      </c>
      <c r="G111" s="240" t="s">
        <v>2039</v>
      </c>
      <c r="H111" s="264"/>
      <c r="I111" s="240"/>
      <c r="J111" s="240"/>
      <c r="K111" s="396">
        <v>-180</v>
      </c>
      <c r="L111" s="396">
        <f t="shared" si="8"/>
        <v>-180</v>
      </c>
      <c r="M111" s="43">
        <f t="shared" si="9"/>
        <v>14607.159999999987</v>
      </c>
      <c r="N111" s="18" t="s">
        <v>90</v>
      </c>
      <c r="S111"/>
      <c r="T111"/>
      <c r="U111"/>
      <c r="V111" s="4"/>
      <c r="W111"/>
    </row>
    <row r="112" spans="1:26" x14ac:dyDescent="0.3">
      <c r="A112" s="12"/>
      <c r="C112" s="105" t="s">
        <v>483</v>
      </c>
      <c r="D112" s="4" t="s">
        <v>1829</v>
      </c>
      <c r="E112" s="132" t="s">
        <v>622</v>
      </c>
      <c r="F112" s="269" t="s">
        <v>1876</v>
      </c>
      <c r="G112" s="240" t="s">
        <v>2039</v>
      </c>
      <c r="H112" s="264"/>
      <c r="I112" s="240">
        <v>50</v>
      </c>
      <c r="J112" s="240"/>
      <c r="K112" s="396"/>
      <c r="L112" s="396">
        <f>I112+K112</f>
        <v>50</v>
      </c>
      <c r="M112" s="43">
        <f t="shared" si="9"/>
        <v>14657.159999999987</v>
      </c>
      <c r="N112" s="18" t="s">
        <v>412</v>
      </c>
      <c r="S112"/>
      <c r="T112"/>
      <c r="U112"/>
      <c r="V112" s="4"/>
      <c r="W112"/>
    </row>
    <row r="113" spans="1:24" x14ac:dyDescent="0.3">
      <c r="A113" s="12"/>
      <c r="C113" s="105" t="s">
        <v>483</v>
      </c>
      <c r="D113" s="4" t="s">
        <v>1877</v>
      </c>
      <c r="E113" s="116" t="s">
        <v>1332</v>
      </c>
      <c r="F113" s="269" t="s">
        <v>1878</v>
      </c>
      <c r="G113" s="240" t="s">
        <v>2039</v>
      </c>
      <c r="H113" s="264"/>
      <c r="I113" s="240"/>
      <c r="J113" s="240"/>
      <c r="K113" s="396">
        <v>-5000</v>
      </c>
      <c r="L113" s="396">
        <f t="shared" si="8"/>
        <v>-5000</v>
      </c>
      <c r="M113" s="43">
        <f t="shared" si="9"/>
        <v>9657.1599999999871</v>
      </c>
      <c r="N113" s="18" t="s">
        <v>90</v>
      </c>
      <c r="V113" s="43"/>
      <c r="W113" s="57">
        <f>SUM(U106:U120)</f>
        <v>0</v>
      </c>
    </row>
    <row r="114" spans="1:24" x14ac:dyDescent="0.3">
      <c r="A114" s="12"/>
      <c r="C114" s="105" t="s">
        <v>483</v>
      </c>
      <c r="D114" s="4" t="s">
        <v>234</v>
      </c>
      <c r="E114" s="133" t="s">
        <v>12</v>
      </c>
      <c r="F114" s="269" t="s">
        <v>1362</v>
      </c>
      <c r="G114" s="240" t="s">
        <v>2039</v>
      </c>
      <c r="H114" s="264"/>
      <c r="I114" s="240"/>
      <c r="J114" s="240"/>
      <c r="K114" s="396">
        <v>-46.5</v>
      </c>
      <c r="L114" s="396">
        <f t="shared" si="8"/>
        <v>-46.5</v>
      </c>
      <c r="M114" s="43">
        <f t="shared" si="9"/>
        <v>9610.6599999999871</v>
      </c>
      <c r="N114" s="18" t="s">
        <v>2236</v>
      </c>
    </row>
    <row r="115" spans="1:24" x14ac:dyDescent="0.3">
      <c r="A115" s="12"/>
      <c r="C115" s="105" t="s">
        <v>483</v>
      </c>
      <c r="D115" s="4" t="s">
        <v>1677</v>
      </c>
      <c r="E115" s="112" t="s">
        <v>504</v>
      </c>
      <c r="F115" s="121" t="s">
        <v>951</v>
      </c>
      <c r="G115" s="240" t="s">
        <v>2039</v>
      </c>
      <c r="H115" s="33"/>
      <c r="I115" s="42"/>
      <c r="J115" s="42"/>
      <c r="K115" s="396">
        <v>-50</v>
      </c>
      <c r="L115" s="396">
        <f t="shared" si="8"/>
        <v>-50</v>
      </c>
      <c r="M115" s="43">
        <f t="shared" si="9"/>
        <v>9560.6599999999871</v>
      </c>
      <c r="N115" s="18" t="s">
        <v>90</v>
      </c>
      <c r="S115" t="s">
        <v>652</v>
      </c>
      <c r="W115" s="74">
        <f>SUM(W103:W113)</f>
        <v>9280.26</v>
      </c>
      <c r="X115" t="s">
        <v>588</v>
      </c>
    </row>
    <row r="116" spans="1:24" x14ac:dyDescent="0.3">
      <c r="A116" s="12"/>
      <c r="C116" s="105" t="s">
        <v>483</v>
      </c>
      <c r="D116" s="4" t="s">
        <v>1746</v>
      </c>
      <c r="E116" s="112" t="s">
        <v>504</v>
      </c>
      <c r="F116" s="121" t="s">
        <v>1880</v>
      </c>
      <c r="G116" s="240" t="s">
        <v>2039</v>
      </c>
      <c r="H116" s="33"/>
      <c r="I116" s="42"/>
      <c r="J116" s="42"/>
      <c r="K116" s="396">
        <v>-50</v>
      </c>
      <c r="L116" s="396">
        <f t="shared" si="8"/>
        <v>-50</v>
      </c>
      <c r="M116" s="43">
        <f t="shared" si="9"/>
        <v>9510.6599999999871</v>
      </c>
      <c r="N116" s="18" t="s">
        <v>90</v>
      </c>
      <c r="S116"/>
      <c r="T116"/>
      <c r="U116"/>
      <c r="V116" s="4"/>
      <c r="W116"/>
    </row>
    <row r="117" spans="1:24" x14ac:dyDescent="0.3">
      <c r="A117" s="12"/>
      <c r="C117" s="105" t="s">
        <v>483</v>
      </c>
      <c r="D117" s="4" t="s">
        <v>1833</v>
      </c>
      <c r="E117" s="112" t="s">
        <v>504</v>
      </c>
      <c r="F117" s="121" t="s">
        <v>916</v>
      </c>
      <c r="G117" s="240" t="s">
        <v>2039</v>
      </c>
      <c r="H117" s="33"/>
      <c r="I117" s="42"/>
      <c r="J117" s="42"/>
      <c r="K117" s="396">
        <v>-50</v>
      </c>
      <c r="L117" s="396">
        <f t="shared" si="8"/>
        <v>-50</v>
      </c>
      <c r="M117" s="43">
        <f t="shared" si="9"/>
        <v>9460.6599999999871</v>
      </c>
      <c r="N117" s="18" t="s">
        <v>90</v>
      </c>
      <c r="S117"/>
      <c r="T117"/>
      <c r="U117"/>
      <c r="V117" s="4"/>
      <c r="W117"/>
    </row>
    <row r="118" spans="1:24" x14ac:dyDescent="0.3">
      <c r="C118" s="105" t="s">
        <v>483</v>
      </c>
      <c r="D118" s="4" t="s">
        <v>1265</v>
      </c>
      <c r="E118" s="112" t="s">
        <v>504</v>
      </c>
      <c r="F118" s="121" t="s">
        <v>1881</v>
      </c>
      <c r="G118" s="240" t="s">
        <v>2039</v>
      </c>
      <c r="H118" s="33"/>
      <c r="I118" s="42"/>
      <c r="J118" s="42"/>
      <c r="K118" s="396">
        <v>-50</v>
      </c>
      <c r="L118" s="396">
        <f t="shared" ref="L118:L124" si="10">I118+K118</f>
        <v>-50</v>
      </c>
      <c r="M118" s="43">
        <f t="shared" si="9"/>
        <v>9410.6599999999871</v>
      </c>
      <c r="N118" s="18" t="s">
        <v>90</v>
      </c>
    </row>
    <row r="119" spans="1:24" x14ac:dyDescent="0.3">
      <c r="C119" s="105" t="s">
        <v>483</v>
      </c>
      <c r="D119" s="4" t="s">
        <v>782</v>
      </c>
      <c r="E119" s="133" t="s">
        <v>518</v>
      </c>
      <c r="F119" s="120" t="s">
        <v>1882</v>
      </c>
      <c r="G119" s="240" t="s">
        <v>2039</v>
      </c>
      <c r="H119" s="33"/>
      <c r="I119" s="42"/>
      <c r="J119" s="42"/>
      <c r="K119" s="396">
        <v>-222</v>
      </c>
      <c r="L119" s="396">
        <f t="shared" si="10"/>
        <v>-222</v>
      </c>
      <c r="M119" s="43">
        <f t="shared" si="9"/>
        <v>9188.6599999999871</v>
      </c>
      <c r="N119" s="18" t="s">
        <v>2236</v>
      </c>
    </row>
    <row r="120" spans="1:24" x14ac:dyDescent="0.3">
      <c r="C120" s="105" t="s">
        <v>483</v>
      </c>
      <c r="D120" s="4" t="s">
        <v>1883</v>
      </c>
      <c r="E120" s="132" t="s">
        <v>512</v>
      </c>
      <c r="F120" s="120" t="s">
        <v>1884</v>
      </c>
      <c r="G120" s="240" t="s">
        <v>2039</v>
      </c>
      <c r="H120" s="33"/>
      <c r="I120" s="42">
        <v>80</v>
      </c>
      <c r="J120" s="171"/>
      <c r="K120" s="396"/>
      <c r="L120" s="396">
        <f t="shared" si="10"/>
        <v>80</v>
      </c>
      <c r="M120" s="43">
        <f t="shared" si="7"/>
        <v>9268.6599999999871</v>
      </c>
      <c r="N120" s="18" t="s">
        <v>412</v>
      </c>
      <c r="S120" s="16"/>
      <c r="T120"/>
      <c r="U120" s="11"/>
    </row>
    <row r="121" spans="1:24" x14ac:dyDescent="0.3">
      <c r="A121" s="53"/>
      <c r="C121" s="105" t="s">
        <v>483</v>
      </c>
      <c r="D121" s="4" t="s">
        <v>1883</v>
      </c>
      <c r="E121" s="112" t="s">
        <v>500</v>
      </c>
      <c r="F121" s="121" t="s">
        <v>241</v>
      </c>
      <c r="G121" s="240" t="s">
        <v>2039</v>
      </c>
      <c r="H121" s="264"/>
      <c r="I121" s="239">
        <v>50</v>
      </c>
      <c r="J121" s="240"/>
      <c r="K121" s="396"/>
      <c r="L121" s="396">
        <f t="shared" si="10"/>
        <v>50</v>
      </c>
      <c r="M121" s="43">
        <f t="shared" si="7"/>
        <v>9318.6599999999871</v>
      </c>
      <c r="N121" s="18" t="s">
        <v>412</v>
      </c>
    </row>
    <row r="122" spans="1:24" x14ac:dyDescent="0.3">
      <c r="C122" s="105" t="s">
        <v>483</v>
      </c>
      <c r="D122" s="4" t="s">
        <v>1885</v>
      </c>
      <c r="E122" s="133" t="s">
        <v>518</v>
      </c>
      <c r="F122" s="269" t="s">
        <v>1886</v>
      </c>
      <c r="G122" s="240" t="s">
        <v>2039</v>
      </c>
      <c r="H122" s="264"/>
      <c r="I122" s="240"/>
      <c r="J122" s="240"/>
      <c r="K122" s="396">
        <v>-38.4</v>
      </c>
      <c r="L122" s="396">
        <f t="shared" si="10"/>
        <v>-38.4</v>
      </c>
      <c r="M122" s="75">
        <f t="shared" si="7"/>
        <v>9280.2599999999875</v>
      </c>
      <c r="N122" s="18" t="s">
        <v>2236</v>
      </c>
      <c r="O122" t="s">
        <v>1887</v>
      </c>
    </row>
    <row r="123" spans="1:24" x14ac:dyDescent="0.3">
      <c r="C123" s="105" t="s">
        <v>483</v>
      </c>
      <c r="D123" s="214"/>
      <c r="E123" s="133" t="s">
        <v>2039</v>
      </c>
      <c r="F123" s="269"/>
      <c r="G123" s="240" t="s">
        <v>2039</v>
      </c>
      <c r="H123" s="264"/>
      <c r="I123" s="240"/>
      <c r="J123" s="240"/>
      <c r="K123" s="396"/>
      <c r="L123" s="396">
        <f t="shared" si="10"/>
        <v>0</v>
      </c>
      <c r="M123" s="43">
        <f t="shared" si="7"/>
        <v>9280.2599999999875</v>
      </c>
      <c r="O123"/>
    </row>
    <row r="124" spans="1:24" x14ac:dyDescent="0.3">
      <c r="A124" s="28" t="s">
        <v>79</v>
      </c>
      <c r="B124" s="361"/>
      <c r="C124" s="105" t="s">
        <v>484</v>
      </c>
      <c r="D124" s="4" t="s">
        <v>58</v>
      </c>
      <c r="E124" s="132" t="s">
        <v>9</v>
      </c>
      <c r="F124" s="1" t="s">
        <v>747</v>
      </c>
      <c r="G124" s="240" t="s">
        <v>2039</v>
      </c>
      <c r="K124" s="396">
        <v>-161.36000000000001</v>
      </c>
      <c r="L124" s="396">
        <f t="shared" si="10"/>
        <v>-161.36000000000001</v>
      </c>
      <c r="M124" s="43">
        <f t="shared" si="7"/>
        <v>9118.8999999999869</v>
      </c>
      <c r="N124" s="18" t="s">
        <v>327</v>
      </c>
      <c r="O124"/>
    </row>
    <row r="125" spans="1:24" x14ac:dyDescent="0.3">
      <c r="A125" s="28"/>
      <c r="B125" s="361"/>
      <c r="C125" s="105" t="s">
        <v>484</v>
      </c>
      <c r="D125" s="4" t="s">
        <v>58</v>
      </c>
      <c r="E125" s="133" t="s">
        <v>8</v>
      </c>
      <c r="F125" s="1" t="s">
        <v>747</v>
      </c>
      <c r="G125" s="240" t="s">
        <v>2039</v>
      </c>
      <c r="H125" s="33"/>
      <c r="I125" s="42"/>
      <c r="J125" s="171"/>
      <c r="K125" s="396">
        <v>-270.31</v>
      </c>
      <c r="L125" s="396">
        <f t="shared" ref="L125:L139" si="11">I125+K125</f>
        <v>-270.31</v>
      </c>
      <c r="M125" s="43">
        <f t="shared" ref="M125:M139" si="12">M124+L125</f>
        <v>8848.5899999999874</v>
      </c>
      <c r="N125" s="18" t="s">
        <v>2236</v>
      </c>
      <c r="O125"/>
    </row>
    <row r="126" spans="1:24" x14ac:dyDescent="0.3">
      <c r="A126" s="28"/>
      <c r="B126" s="361"/>
      <c r="C126" s="105" t="s">
        <v>484</v>
      </c>
      <c r="D126" s="4" t="s">
        <v>299</v>
      </c>
      <c r="E126" s="133" t="s">
        <v>301</v>
      </c>
      <c r="F126" s="213" t="s">
        <v>1801</v>
      </c>
      <c r="G126" s="240" t="s">
        <v>2039</v>
      </c>
      <c r="H126" s="214"/>
      <c r="I126" s="215"/>
      <c r="J126" s="215"/>
      <c r="K126" s="396">
        <v>-44.94</v>
      </c>
      <c r="L126" s="396">
        <f t="shared" si="11"/>
        <v>-44.94</v>
      </c>
      <c r="M126" s="43">
        <f t="shared" si="12"/>
        <v>8803.6499999999869</v>
      </c>
      <c r="N126" s="18" t="s">
        <v>327</v>
      </c>
      <c r="O126"/>
      <c r="S126" s="30" t="s">
        <v>1905</v>
      </c>
    </row>
    <row r="127" spans="1:24" x14ac:dyDescent="0.3">
      <c r="A127" s="28"/>
      <c r="B127" s="361"/>
      <c r="C127" s="105" t="s">
        <v>484</v>
      </c>
      <c r="D127" s="4" t="s">
        <v>607</v>
      </c>
      <c r="E127" s="133" t="s">
        <v>11</v>
      </c>
      <c r="F127" s="213" t="s">
        <v>1802</v>
      </c>
      <c r="G127" s="240" t="s">
        <v>2039</v>
      </c>
      <c r="H127" s="214"/>
      <c r="I127" s="215"/>
      <c r="J127" s="215"/>
      <c r="K127" s="396">
        <v>-29.54</v>
      </c>
      <c r="L127" s="396">
        <f t="shared" si="11"/>
        <v>-29.54</v>
      </c>
      <c r="M127" s="43">
        <f t="shared" si="12"/>
        <v>8774.109999999986</v>
      </c>
      <c r="N127" s="18" t="s">
        <v>49</v>
      </c>
      <c r="O127"/>
    </row>
    <row r="128" spans="1:24" x14ac:dyDescent="0.3">
      <c r="A128" s="28"/>
      <c r="B128" s="361"/>
      <c r="C128" s="105" t="s">
        <v>484</v>
      </c>
      <c r="D128" s="354" t="s">
        <v>1109</v>
      </c>
      <c r="E128" s="133" t="s">
        <v>12</v>
      </c>
      <c r="F128" s="213" t="s">
        <v>1802</v>
      </c>
      <c r="G128" s="240" t="s">
        <v>2039</v>
      </c>
      <c r="H128" s="214"/>
      <c r="I128" s="215"/>
      <c r="J128" s="215"/>
      <c r="K128" s="396">
        <v>-59.75</v>
      </c>
      <c r="L128" s="396">
        <f t="shared" si="11"/>
        <v>-59.75</v>
      </c>
      <c r="M128" s="43">
        <f t="shared" si="12"/>
        <v>8714.359999999986</v>
      </c>
      <c r="N128" s="18" t="s">
        <v>2236</v>
      </c>
      <c r="O128"/>
      <c r="S128" t="s">
        <v>584</v>
      </c>
      <c r="W128" s="15">
        <f>8777.65-130+50</f>
        <v>8697.65</v>
      </c>
    </row>
    <row r="129" spans="1:24" x14ac:dyDescent="0.3">
      <c r="A129" s="28"/>
      <c r="B129" s="361"/>
      <c r="C129" s="105" t="s">
        <v>484</v>
      </c>
      <c r="D129" s="4" t="s">
        <v>48</v>
      </c>
      <c r="E129" s="133" t="s">
        <v>12</v>
      </c>
      <c r="F129" s="213" t="s">
        <v>1802</v>
      </c>
      <c r="G129" s="240" t="s">
        <v>2039</v>
      </c>
      <c r="H129" s="214"/>
      <c r="I129" s="215"/>
      <c r="J129" s="215"/>
      <c r="K129" s="396">
        <v>-72.42</v>
      </c>
      <c r="L129" s="396">
        <f t="shared" si="11"/>
        <v>-72.42</v>
      </c>
      <c r="M129" s="43">
        <f t="shared" si="12"/>
        <v>8641.939999999986</v>
      </c>
      <c r="N129" s="18" t="s">
        <v>2236</v>
      </c>
      <c r="O129"/>
      <c r="S129" s="16"/>
      <c r="U129" s="11"/>
    </row>
    <row r="130" spans="1:24" x14ac:dyDescent="0.3">
      <c r="A130" s="28"/>
      <c r="B130" s="361"/>
      <c r="C130" s="105" t="s">
        <v>484</v>
      </c>
      <c r="D130" s="4" t="s">
        <v>1544</v>
      </c>
      <c r="E130" s="133" t="s">
        <v>12</v>
      </c>
      <c r="F130" s="1" t="s">
        <v>746</v>
      </c>
      <c r="G130" s="240" t="s">
        <v>2039</v>
      </c>
      <c r="K130" s="396">
        <v>-292.5</v>
      </c>
      <c r="L130" s="396">
        <f t="shared" si="11"/>
        <v>-292.5</v>
      </c>
      <c r="M130" s="43">
        <f t="shared" si="12"/>
        <v>8349.439999999986</v>
      </c>
      <c r="N130" s="18" t="s">
        <v>2236</v>
      </c>
      <c r="O130"/>
      <c r="S130" s="16"/>
      <c r="U130" s="11"/>
    </row>
    <row r="131" spans="1:24" x14ac:dyDescent="0.3">
      <c r="A131" s="28"/>
      <c r="B131" s="361"/>
      <c r="C131" s="105" t="s">
        <v>484</v>
      </c>
      <c r="D131" s="354" t="s">
        <v>670</v>
      </c>
      <c r="E131" s="132" t="s">
        <v>513</v>
      </c>
      <c r="F131" s="269" t="s">
        <v>1888</v>
      </c>
      <c r="G131" s="240" t="s">
        <v>2039</v>
      </c>
      <c r="H131" s="264"/>
      <c r="I131" s="327">
        <v>60</v>
      </c>
      <c r="J131" s="240"/>
      <c r="K131" s="396"/>
      <c r="L131" s="396">
        <f t="shared" si="11"/>
        <v>60</v>
      </c>
      <c r="M131" s="43">
        <f t="shared" si="12"/>
        <v>8409.439999999986</v>
      </c>
      <c r="N131" s="18" t="s">
        <v>90</v>
      </c>
      <c r="O131"/>
      <c r="S131" s="16"/>
      <c r="U131" s="11"/>
    </row>
    <row r="132" spans="1:24" x14ac:dyDescent="0.3">
      <c r="A132" s="28"/>
      <c r="B132" s="361"/>
      <c r="C132" s="105" t="s">
        <v>484</v>
      </c>
      <c r="D132" s="4" t="s">
        <v>1893</v>
      </c>
      <c r="E132" s="132" t="s">
        <v>513</v>
      </c>
      <c r="F132" s="120" t="s">
        <v>1892</v>
      </c>
      <c r="G132" s="240" t="s">
        <v>2039</v>
      </c>
      <c r="H132" s="33"/>
      <c r="I132" s="321">
        <v>126</v>
      </c>
      <c r="J132" s="240"/>
      <c r="K132" s="396"/>
      <c r="L132" s="396">
        <f t="shared" si="11"/>
        <v>126</v>
      </c>
      <c r="M132" s="43">
        <f t="shared" si="12"/>
        <v>8535.439999999986</v>
      </c>
      <c r="N132" s="18" t="s">
        <v>90</v>
      </c>
      <c r="O132"/>
      <c r="S132" s="16"/>
      <c r="U132" s="11"/>
    </row>
    <row r="133" spans="1:24" x14ac:dyDescent="0.3">
      <c r="A133" s="28"/>
      <c r="B133" s="361"/>
      <c r="C133" s="105" t="s">
        <v>484</v>
      </c>
      <c r="D133" s="4" t="s">
        <v>1731</v>
      </c>
      <c r="E133" s="132" t="s">
        <v>512</v>
      </c>
      <c r="F133" s="269" t="s">
        <v>1889</v>
      </c>
      <c r="G133" s="240" t="s">
        <v>2039</v>
      </c>
      <c r="H133" s="33"/>
      <c r="I133" s="42">
        <v>80</v>
      </c>
      <c r="J133" s="240"/>
      <c r="K133" s="396"/>
      <c r="L133" s="396">
        <f t="shared" si="11"/>
        <v>80</v>
      </c>
      <c r="M133" s="43">
        <f t="shared" si="12"/>
        <v>8615.439999999986</v>
      </c>
      <c r="N133" s="18" t="s">
        <v>90</v>
      </c>
      <c r="O133"/>
      <c r="S133" s="4"/>
      <c r="U133" s="11"/>
    </row>
    <row r="134" spans="1:24" x14ac:dyDescent="0.3">
      <c r="A134" s="28"/>
      <c r="B134" s="361"/>
      <c r="C134" s="105" t="s">
        <v>484</v>
      </c>
      <c r="D134" s="4" t="s">
        <v>97</v>
      </c>
      <c r="E134" s="132" t="s">
        <v>10</v>
      </c>
      <c r="F134" s="120" t="s">
        <v>1896</v>
      </c>
      <c r="G134" s="240" t="s">
        <v>2039</v>
      </c>
      <c r="H134" s="33"/>
      <c r="I134" s="42"/>
      <c r="J134" s="240"/>
      <c r="K134" s="396">
        <v>-1530.29</v>
      </c>
      <c r="L134" s="396">
        <f t="shared" si="11"/>
        <v>-1530.29</v>
      </c>
      <c r="M134" s="43">
        <f t="shared" si="12"/>
        <v>7085.149999999986</v>
      </c>
      <c r="N134" s="18" t="s">
        <v>2236</v>
      </c>
      <c r="O134"/>
      <c r="S134" s="4"/>
      <c r="U134" s="11"/>
      <c r="V134"/>
    </row>
    <row r="135" spans="1:24" x14ac:dyDescent="0.3">
      <c r="A135" s="28"/>
      <c r="B135" s="361"/>
      <c r="C135" s="105" t="s">
        <v>484</v>
      </c>
      <c r="D135" s="4" t="s">
        <v>97</v>
      </c>
      <c r="E135" s="132" t="s">
        <v>10</v>
      </c>
      <c r="F135" s="120" t="s">
        <v>1894</v>
      </c>
      <c r="G135" s="240" t="s">
        <v>2039</v>
      </c>
      <c r="H135" s="33"/>
      <c r="I135" s="42"/>
      <c r="J135" s="240"/>
      <c r="K135" s="396">
        <v>1096</v>
      </c>
      <c r="L135" s="396">
        <f t="shared" si="11"/>
        <v>1096</v>
      </c>
      <c r="M135" s="43">
        <f t="shared" si="12"/>
        <v>8181.149999999986</v>
      </c>
      <c r="N135" s="18" t="s">
        <v>2236</v>
      </c>
      <c r="O135"/>
      <c r="S135" s="16"/>
      <c r="U135" s="11"/>
      <c r="V135"/>
    </row>
    <row r="136" spans="1:24" x14ac:dyDescent="0.3">
      <c r="A136" s="28"/>
      <c r="B136" s="361"/>
      <c r="C136" s="105" t="s">
        <v>484</v>
      </c>
      <c r="D136" s="4" t="s">
        <v>237</v>
      </c>
      <c r="E136" s="116" t="s">
        <v>621</v>
      </c>
      <c r="F136" s="120" t="s">
        <v>1898</v>
      </c>
      <c r="G136" s="240" t="s">
        <v>2039</v>
      </c>
      <c r="H136" s="33"/>
      <c r="I136" s="42"/>
      <c r="J136" s="240"/>
      <c r="K136" s="396">
        <v>-36</v>
      </c>
      <c r="L136" s="396">
        <f t="shared" si="11"/>
        <v>-36</v>
      </c>
      <c r="M136" s="43">
        <f t="shared" si="12"/>
        <v>8145.149999999986</v>
      </c>
      <c r="N136" s="18" t="s">
        <v>2236</v>
      </c>
      <c r="O136"/>
      <c r="S136" s="16"/>
      <c r="U136" s="11"/>
    </row>
    <row r="137" spans="1:24" x14ac:dyDescent="0.3">
      <c r="A137" s="28"/>
      <c r="B137" s="361"/>
      <c r="C137" s="105" t="s">
        <v>484</v>
      </c>
      <c r="D137" s="4" t="s">
        <v>1357</v>
      </c>
      <c r="E137" s="133" t="s">
        <v>86</v>
      </c>
      <c r="F137" s="120" t="s">
        <v>1897</v>
      </c>
      <c r="G137" s="240" t="s">
        <v>2039</v>
      </c>
      <c r="H137" s="33"/>
      <c r="I137" s="42"/>
      <c r="J137" s="240"/>
      <c r="K137" s="396">
        <v>-100</v>
      </c>
      <c r="L137" s="396">
        <f t="shared" si="11"/>
        <v>-100</v>
      </c>
      <c r="M137" s="43">
        <f t="shared" si="12"/>
        <v>8045.149999999986</v>
      </c>
      <c r="N137" s="18" t="s">
        <v>2236</v>
      </c>
      <c r="O137"/>
      <c r="S137" s="16"/>
      <c r="U137" s="11"/>
    </row>
    <row r="138" spans="1:24" x14ac:dyDescent="0.3">
      <c r="A138" s="28"/>
      <c r="B138" s="361"/>
      <c r="C138" s="105" t="s">
        <v>484</v>
      </c>
      <c r="D138" s="4" t="s">
        <v>1845</v>
      </c>
      <c r="E138" s="116" t="s">
        <v>621</v>
      </c>
      <c r="F138" s="120" t="s">
        <v>1846</v>
      </c>
      <c r="G138" s="240" t="s">
        <v>2039</v>
      </c>
      <c r="H138" s="33"/>
      <c r="I138" s="42"/>
      <c r="J138" s="240"/>
      <c r="K138" s="396">
        <v>-10</v>
      </c>
      <c r="L138" s="396">
        <f t="shared" si="11"/>
        <v>-10</v>
      </c>
      <c r="M138" s="43">
        <f t="shared" si="12"/>
        <v>8035.149999999986</v>
      </c>
      <c r="N138" s="18" t="s">
        <v>90</v>
      </c>
      <c r="O138"/>
      <c r="S138" s="16"/>
      <c r="U138" s="11"/>
    </row>
    <row r="139" spans="1:24" x14ac:dyDescent="0.3">
      <c r="C139" s="105" t="s">
        <v>484</v>
      </c>
      <c r="D139" s="1" t="s">
        <v>1971</v>
      </c>
      <c r="E139" s="112" t="s">
        <v>500</v>
      </c>
      <c r="F139" s="121" t="s">
        <v>242</v>
      </c>
      <c r="G139" s="240" t="s">
        <v>2039</v>
      </c>
      <c r="H139" s="264"/>
      <c r="I139" s="49">
        <v>200</v>
      </c>
      <c r="J139" s="42"/>
      <c r="K139" s="396"/>
      <c r="L139" s="396">
        <f t="shared" si="11"/>
        <v>200</v>
      </c>
      <c r="M139" s="43">
        <f t="shared" si="12"/>
        <v>8235.1499999999869</v>
      </c>
      <c r="N139" s="18" t="s">
        <v>90</v>
      </c>
      <c r="S139"/>
      <c r="V139" s="43"/>
    </row>
    <row r="140" spans="1:24" x14ac:dyDescent="0.3">
      <c r="A140" s="12"/>
      <c r="C140" s="105" t="s">
        <v>484</v>
      </c>
      <c r="D140" s="4" t="s">
        <v>782</v>
      </c>
      <c r="E140" s="133" t="s">
        <v>518</v>
      </c>
      <c r="F140" s="168" t="s">
        <v>1899</v>
      </c>
      <c r="G140" s="240" t="s">
        <v>2039</v>
      </c>
      <c r="H140" s="33"/>
      <c r="I140" s="42"/>
      <c r="J140" s="42"/>
      <c r="K140" s="396">
        <v>-138</v>
      </c>
      <c r="L140" s="396">
        <f t="shared" ref="L140:L162" si="13">I140+K140</f>
        <v>-138</v>
      </c>
      <c r="M140" s="43">
        <f t="shared" si="7"/>
        <v>8097.1499999999869</v>
      </c>
      <c r="N140" s="18" t="s">
        <v>2236</v>
      </c>
      <c r="O140" s="23"/>
      <c r="S140" t="s">
        <v>586</v>
      </c>
      <c r="V140" s="43"/>
      <c r="W140" s="15">
        <f>SUM(V131:V135)</f>
        <v>0</v>
      </c>
    </row>
    <row r="141" spans="1:24" x14ac:dyDescent="0.3">
      <c r="A141" s="12"/>
      <c r="C141" s="105" t="s">
        <v>484</v>
      </c>
      <c r="D141" s="4" t="s">
        <v>1900</v>
      </c>
      <c r="E141" s="132" t="s">
        <v>513</v>
      </c>
      <c r="F141" s="120" t="s">
        <v>1901</v>
      </c>
      <c r="G141" s="240" t="s">
        <v>2039</v>
      </c>
      <c r="H141" s="33"/>
      <c r="I141" s="321">
        <v>220.5</v>
      </c>
      <c r="J141" s="42"/>
      <c r="K141" s="396"/>
      <c r="L141" s="396">
        <f t="shared" si="13"/>
        <v>220.5</v>
      </c>
      <c r="M141" s="43">
        <f t="shared" si="7"/>
        <v>8317.6499999999869</v>
      </c>
      <c r="N141" s="18" t="s">
        <v>90</v>
      </c>
      <c r="S141"/>
      <c r="T141"/>
      <c r="U141"/>
      <c r="V141" s="4"/>
      <c r="W141" s="57"/>
      <c r="X141"/>
    </row>
    <row r="142" spans="1:24" x14ac:dyDescent="0.3">
      <c r="C142" s="105" t="s">
        <v>484</v>
      </c>
      <c r="D142" s="4" t="s">
        <v>1638</v>
      </c>
      <c r="E142" s="112" t="s">
        <v>500</v>
      </c>
      <c r="F142" s="121" t="s">
        <v>1340</v>
      </c>
      <c r="G142" s="240" t="s">
        <v>2039</v>
      </c>
      <c r="H142" s="264"/>
      <c r="I142" s="49">
        <v>50</v>
      </c>
      <c r="J142" s="42"/>
      <c r="K142" s="396"/>
      <c r="L142" s="396">
        <f t="shared" si="13"/>
        <v>50</v>
      </c>
      <c r="M142" s="43">
        <f t="shared" si="7"/>
        <v>8367.6499999999869</v>
      </c>
      <c r="N142" s="18" t="s">
        <v>412</v>
      </c>
      <c r="S142" t="s">
        <v>652</v>
      </c>
      <c r="W142" s="186">
        <f>+W128+W140</f>
        <v>8697.65</v>
      </c>
      <c r="X142" t="s">
        <v>588</v>
      </c>
    </row>
    <row r="143" spans="1:24" x14ac:dyDescent="0.3">
      <c r="A143" s="12"/>
      <c r="C143" s="105" t="s">
        <v>484</v>
      </c>
      <c r="D143" s="4" t="s">
        <v>1638</v>
      </c>
      <c r="E143" s="132" t="s">
        <v>512</v>
      </c>
      <c r="F143" s="120" t="s">
        <v>1903</v>
      </c>
      <c r="G143" s="240" t="s">
        <v>2039</v>
      </c>
      <c r="H143" s="120"/>
      <c r="I143" s="42">
        <v>60</v>
      </c>
      <c r="J143" s="42"/>
      <c r="K143" s="396"/>
      <c r="L143" s="396">
        <f t="shared" si="13"/>
        <v>60</v>
      </c>
      <c r="M143" s="43">
        <f t="shared" si="7"/>
        <v>8427.6499999999869</v>
      </c>
      <c r="N143" s="18" t="s">
        <v>412</v>
      </c>
      <c r="S143"/>
      <c r="T143"/>
      <c r="U143"/>
      <c r="V143" s="4" t="s">
        <v>90</v>
      </c>
    </row>
    <row r="144" spans="1:24" x14ac:dyDescent="0.3">
      <c r="A144" s="12"/>
      <c r="C144" s="105" t="s">
        <v>484</v>
      </c>
      <c r="D144" s="4" t="s">
        <v>1902</v>
      </c>
      <c r="E144" s="133" t="s">
        <v>518</v>
      </c>
      <c r="F144" s="120" t="s">
        <v>1915</v>
      </c>
      <c r="G144" s="240" t="s">
        <v>2039</v>
      </c>
      <c r="H144" s="33"/>
      <c r="I144" s="42"/>
      <c r="J144" s="42"/>
      <c r="K144" s="396">
        <v>-80</v>
      </c>
      <c r="L144" s="396">
        <f t="shared" si="13"/>
        <v>-80</v>
      </c>
      <c r="M144" s="43">
        <f t="shared" si="7"/>
        <v>8347.6499999999869</v>
      </c>
      <c r="N144" s="18" t="s">
        <v>2236</v>
      </c>
      <c r="S144"/>
      <c r="T144"/>
      <c r="U144"/>
      <c r="V144" s="4" t="s">
        <v>90</v>
      </c>
    </row>
    <row r="145" spans="1:23" x14ac:dyDescent="0.3">
      <c r="A145" s="12"/>
      <c r="C145" s="105" t="s">
        <v>484</v>
      </c>
      <c r="D145" s="4" t="s">
        <v>1715</v>
      </c>
      <c r="E145" s="132" t="s">
        <v>512</v>
      </c>
      <c r="F145" s="120" t="s">
        <v>1904</v>
      </c>
      <c r="G145" s="240" t="s">
        <v>2039</v>
      </c>
      <c r="H145" s="210"/>
      <c r="I145" s="42">
        <v>450</v>
      </c>
      <c r="J145" s="42"/>
      <c r="K145" s="396"/>
      <c r="L145" s="396">
        <f t="shared" si="13"/>
        <v>450</v>
      </c>
      <c r="M145" s="43">
        <f t="shared" si="7"/>
        <v>8797.6499999999869</v>
      </c>
      <c r="N145" s="18" t="s">
        <v>90</v>
      </c>
      <c r="S145"/>
      <c r="T145"/>
      <c r="U145"/>
      <c r="V145" s="125"/>
    </row>
    <row r="146" spans="1:23" x14ac:dyDescent="0.3">
      <c r="A146" s="12"/>
      <c r="C146" s="105" t="s">
        <v>484</v>
      </c>
      <c r="D146" s="4" t="s">
        <v>1906</v>
      </c>
      <c r="E146" s="112" t="s">
        <v>504</v>
      </c>
      <c r="F146" s="121" t="s">
        <v>1084</v>
      </c>
      <c r="G146" s="240" t="s">
        <v>2039</v>
      </c>
      <c r="H146" s="33"/>
      <c r="I146" s="42"/>
      <c r="J146" s="42"/>
      <c r="K146" s="396">
        <v>-50</v>
      </c>
      <c r="L146" s="396">
        <f t="shared" si="13"/>
        <v>-50</v>
      </c>
      <c r="M146" s="43">
        <f t="shared" si="7"/>
        <v>8747.6499999999869</v>
      </c>
      <c r="N146" s="18" t="s">
        <v>90</v>
      </c>
    </row>
    <row r="147" spans="1:23" x14ac:dyDescent="0.3">
      <c r="A147" s="12"/>
      <c r="C147" s="105" t="s">
        <v>484</v>
      </c>
      <c r="D147" s="4" t="s">
        <v>1907</v>
      </c>
      <c r="E147" s="112" t="s">
        <v>504</v>
      </c>
      <c r="F147" s="121" t="s">
        <v>1909</v>
      </c>
      <c r="G147" s="240" t="s">
        <v>2039</v>
      </c>
      <c r="H147" s="33"/>
      <c r="I147" s="42"/>
      <c r="J147" s="42"/>
      <c r="K147" s="396">
        <v>-50</v>
      </c>
      <c r="L147" s="396">
        <f t="shared" si="13"/>
        <v>-50</v>
      </c>
      <c r="M147" s="75">
        <f t="shared" si="7"/>
        <v>8697.6499999999869</v>
      </c>
      <c r="N147" s="18" t="s">
        <v>90</v>
      </c>
      <c r="P147" s="15"/>
      <c r="R147" s="15"/>
    </row>
    <row r="148" spans="1:23" x14ac:dyDescent="0.3">
      <c r="A148" s="12"/>
      <c r="C148" s="105" t="s">
        <v>484</v>
      </c>
      <c r="D148" s="4"/>
      <c r="E148" s="112" t="s">
        <v>2039</v>
      </c>
      <c r="F148" s="120"/>
      <c r="G148" s="240" t="s">
        <v>2039</v>
      </c>
      <c r="H148" s="33"/>
      <c r="I148" s="42"/>
      <c r="J148" s="42"/>
      <c r="K148" s="396"/>
      <c r="L148" s="396">
        <f t="shared" si="13"/>
        <v>0</v>
      </c>
      <c r="M148" s="43">
        <f t="shared" si="7"/>
        <v>8697.6499999999869</v>
      </c>
    </row>
    <row r="149" spans="1:23" x14ac:dyDescent="0.3">
      <c r="A149" s="28" t="s">
        <v>80</v>
      </c>
      <c r="B149" s="361"/>
      <c r="C149" s="105" t="s">
        <v>485</v>
      </c>
      <c r="D149" s="4" t="s">
        <v>58</v>
      </c>
      <c r="E149" s="132" t="s">
        <v>9</v>
      </c>
      <c r="F149" s="1" t="s">
        <v>746</v>
      </c>
      <c r="G149" s="240" t="s">
        <v>2039</v>
      </c>
      <c r="K149" s="396">
        <v>-138.44</v>
      </c>
      <c r="L149" s="396">
        <f t="shared" si="13"/>
        <v>-138.44</v>
      </c>
      <c r="M149" s="43">
        <f t="shared" si="7"/>
        <v>8559.2099999999864</v>
      </c>
      <c r="N149" s="18" t="s">
        <v>327</v>
      </c>
      <c r="O149"/>
    </row>
    <row r="150" spans="1:23" x14ac:dyDescent="0.3">
      <c r="A150" s="12"/>
      <c r="C150" s="105" t="s">
        <v>485</v>
      </c>
      <c r="D150" s="4" t="s">
        <v>58</v>
      </c>
      <c r="E150" s="133" t="s">
        <v>8</v>
      </c>
      <c r="F150" s="1" t="s">
        <v>746</v>
      </c>
      <c r="G150" s="240" t="s">
        <v>2039</v>
      </c>
      <c r="H150" s="33"/>
      <c r="I150" s="42"/>
      <c r="J150" s="171"/>
      <c r="K150" s="396">
        <v>-291.44</v>
      </c>
      <c r="L150" s="396">
        <f t="shared" si="13"/>
        <v>-291.44</v>
      </c>
      <c r="M150" s="43">
        <f t="shared" si="7"/>
        <v>8267.7699999999859</v>
      </c>
      <c r="N150" s="18" t="s">
        <v>2236</v>
      </c>
    </row>
    <row r="151" spans="1:23" x14ac:dyDescent="0.3">
      <c r="A151" s="12"/>
      <c r="C151" s="105" t="s">
        <v>485</v>
      </c>
      <c r="D151" s="4" t="s">
        <v>299</v>
      </c>
      <c r="E151" s="133" t="s">
        <v>301</v>
      </c>
      <c r="F151" s="213" t="s">
        <v>1801</v>
      </c>
      <c r="G151" s="240" t="s">
        <v>2039</v>
      </c>
      <c r="H151" s="214"/>
      <c r="I151" s="215"/>
      <c r="J151" s="215"/>
      <c r="K151" s="396">
        <v>-44.94</v>
      </c>
      <c r="L151" s="396">
        <f t="shared" si="13"/>
        <v>-44.94</v>
      </c>
      <c r="M151" s="43">
        <f t="shared" si="7"/>
        <v>8222.8299999999854</v>
      </c>
      <c r="N151" s="18" t="s">
        <v>327</v>
      </c>
    </row>
    <row r="152" spans="1:23" x14ac:dyDescent="0.3">
      <c r="A152" s="12"/>
      <c r="C152" s="105" t="s">
        <v>485</v>
      </c>
      <c r="D152" s="4" t="s">
        <v>607</v>
      </c>
      <c r="E152" s="133" t="s">
        <v>11</v>
      </c>
      <c r="F152" s="213" t="s">
        <v>1802</v>
      </c>
      <c r="G152" s="240" t="s">
        <v>2039</v>
      </c>
      <c r="H152" s="214"/>
      <c r="I152" s="215"/>
      <c r="J152" s="215"/>
      <c r="K152" s="396">
        <v>-29.54</v>
      </c>
      <c r="L152" s="396">
        <f t="shared" si="13"/>
        <v>-29.54</v>
      </c>
      <c r="M152" s="43">
        <f t="shared" si="7"/>
        <v>8193.2899999999845</v>
      </c>
      <c r="N152" s="18" t="s">
        <v>49</v>
      </c>
    </row>
    <row r="153" spans="1:23" x14ac:dyDescent="0.3">
      <c r="A153" s="12"/>
      <c r="C153" s="105" t="s">
        <v>485</v>
      </c>
      <c r="D153" s="354" t="s">
        <v>1109</v>
      </c>
      <c r="E153" s="133" t="s">
        <v>12</v>
      </c>
      <c r="F153" s="213" t="s">
        <v>1802</v>
      </c>
      <c r="G153" s="240" t="s">
        <v>2039</v>
      </c>
      <c r="H153" s="214"/>
      <c r="I153" s="215"/>
      <c r="J153" s="215"/>
      <c r="K153" s="396">
        <v>-44.23</v>
      </c>
      <c r="L153" s="396">
        <f t="shared" si="13"/>
        <v>-44.23</v>
      </c>
      <c r="M153" s="43">
        <f t="shared" si="7"/>
        <v>8149.0599999999849</v>
      </c>
      <c r="N153" s="18" t="s">
        <v>2236</v>
      </c>
    </row>
    <row r="154" spans="1:23" x14ac:dyDescent="0.3">
      <c r="A154" s="12"/>
      <c r="C154" s="105" t="s">
        <v>485</v>
      </c>
      <c r="D154" s="4" t="s">
        <v>48</v>
      </c>
      <c r="E154" s="133" t="s">
        <v>12</v>
      </c>
      <c r="F154" s="213" t="s">
        <v>1802</v>
      </c>
      <c r="G154" s="240" t="s">
        <v>2039</v>
      </c>
      <c r="H154" s="214"/>
      <c r="I154" s="215"/>
      <c r="J154" s="215"/>
      <c r="K154" s="396">
        <v>-72.42</v>
      </c>
      <c r="L154" s="396">
        <f t="shared" si="13"/>
        <v>-72.42</v>
      </c>
      <c r="M154" s="43">
        <f t="shared" si="7"/>
        <v>8076.6399999999849</v>
      </c>
      <c r="N154" s="18" t="s">
        <v>2236</v>
      </c>
    </row>
    <row r="155" spans="1:23" x14ac:dyDescent="0.3">
      <c r="A155" s="12"/>
      <c r="C155" s="105" t="s">
        <v>485</v>
      </c>
      <c r="D155" s="4" t="s">
        <v>1544</v>
      </c>
      <c r="E155" s="133" t="s">
        <v>12</v>
      </c>
      <c r="F155" s="1" t="s">
        <v>745</v>
      </c>
      <c r="G155" s="240" t="s">
        <v>2039</v>
      </c>
      <c r="K155" s="396">
        <v>-302.49</v>
      </c>
      <c r="L155" s="396">
        <f t="shared" si="13"/>
        <v>-302.49</v>
      </c>
      <c r="M155" s="43">
        <f t="shared" si="7"/>
        <v>7774.1499999999851</v>
      </c>
      <c r="N155" s="18" t="s">
        <v>2236</v>
      </c>
    </row>
    <row r="156" spans="1:23" x14ac:dyDescent="0.3">
      <c r="A156" s="12"/>
      <c r="C156" s="105" t="s">
        <v>485</v>
      </c>
      <c r="D156" s="354" t="s">
        <v>670</v>
      </c>
      <c r="E156" s="132" t="s">
        <v>513</v>
      </c>
      <c r="F156" s="269" t="s">
        <v>1910</v>
      </c>
      <c r="G156" s="240" t="s">
        <v>2039</v>
      </c>
      <c r="H156" s="264"/>
      <c r="I156" s="327">
        <v>60</v>
      </c>
      <c r="J156" s="240"/>
      <c r="K156" s="396"/>
      <c r="L156" s="396">
        <f t="shared" si="13"/>
        <v>60</v>
      </c>
      <c r="M156" s="43">
        <f t="shared" si="7"/>
        <v>7834.1499999999851</v>
      </c>
      <c r="N156" s="18" t="s">
        <v>90</v>
      </c>
    </row>
    <row r="157" spans="1:23" x14ac:dyDescent="0.3">
      <c r="A157" s="12"/>
      <c r="C157" s="105" t="s">
        <v>485</v>
      </c>
      <c r="D157" s="4" t="s">
        <v>232</v>
      </c>
      <c r="E157" s="133" t="s">
        <v>13</v>
      </c>
      <c r="F157" s="120"/>
      <c r="G157" s="240" t="s">
        <v>2039</v>
      </c>
      <c r="H157" s="168" t="s">
        <v>233</v>
      </c>
      <c r="I157" s="42"/>
      <c r="J157" s="42"/>
      <c r="K157" s="396">
        <v>-50</v>
      </c>
      <c r="L157" s="396">
        <f t="shared" si="13"/>
        <v>-50</v>
      </c>
      <c r="M157" s="43">
        <f t="shared" si="7"/>
        <v>7784.1499999999851</v>
      </c>
      <c r="N157" s="18" t="s">
        <v>90</v>
      </c>
    </row>
    <row r="158" spans="1:23" x14ac:dyDescent="0.3">
      <c r="A158" s="28"/>
      <c r="B158" s="361"/>
      <c r="C158" s="105" t="s">
        <v>485</v>
      </c>
      <c r="D158" s="4" t="s">
        <v>1912</v>
      </c>
      <c r="E158" s="112" t="s">
        <v>500</v>
      </c>
      <c r="F158" s="121" t="s">
        <v>1344</v>
      </c>
      <c r="G158" s="240" t="s">
        <v>2039</v>
      </c>
      <c r="H158" s="264"/>
      <c r="I158" s="49">
        <v>50</v>
      </c>
      <c r="J158" s="42"/>
      <c r="K158" s="396"/>
      <c r="L158" s="396">
        <f t="shared" si="13"/>
        <v>50</v>
      </c>
      <c r="M158" s="43">
        <f t="shared" si="7"/>
        <v>7834.1499999999851</v>
      </c>
      <c r="N158" s="18" t="s">
        <v>412</v>
      </c>
      <c r="S158" s="30" t="s">
        <v>1534</v>
      </c>
      <c r="W158" s="15">
        <f>6261.16</f>
        <v>6261.16</v>
      </c>
    </row>
    <row r="159" spans="1:23" x14ac:dyDescent="0.3">
      <c r="A159" s="12"/>
      <c r="C159" s="105" t="s">
        <v>485</v>
      </c>
      <c r="D159" s="4" t="s">
        <v>1912</v>
      </c>
      <c r="E159" s="132" t="s">
        <v>512</v>
      </c>
      <c r="F159" s="120" t="s">
        <v>1911</v>
      </c>
      <c r="G159" s="240" t="s">
        <v>2039</v>
      </c>
      <c r="H159" s="168"/>
      <c r="I159" s="42">
        <v>80</v>
      </c>
      <c r="J159" s="42"/>
      <c r="K159" s="396"/>
      <c r="L159" s="396">
        <f t="shared" si="13"/>
        <v>80</v>
      </c>
      <c r="M159" s="43">
        <f t="shared" si="7"/>
        <v>7914.1499999999851</v>
      </c>
      <c r="N159" s="18" t="s">
        <v>412</v>
      </c>
    </row>
    <row r="160" spans="1:23" x14ac:dyDescent="0.3">
      <c r="A160" s="12"/>
      <c r="C160" s="105" t="s">
        <v>485</v>
      </c>
      <c r="D160" s="4" t="s">
        <v>447</v>
      </c>
      <c r="E160" s="132" t="s">
        <v>512</v>
      </c>
      <c r="F160" s="120"/>
      <c r="G160" s="240" t="s">
        <v>2039</v>
      </c>
      <c r="H160" s="33"/>
      <c r="I160" s="42">
        <v>60</v>
      </c>
      <c r="J160" s="42"/>
      <c r="K160" s="396"/>
      <c r="L160" s="396">
        <f t="shared" si="13"/>
        <v>60</v>
      </c>
      <c r="M160" s="43">
        <f t="shared" si="7"/>
        <v>7974.1499999999851</v>
      </c>
      <c r="N160" s="254" t="s">
        <v>90</v>
      </c>
      <c r="O160" s="254" t="s">
        <v>1721</v>
      </c>
      <c r="S160" t="s">
        <v>584</v>
      </c>
    </row>
    <row r="161" spans="1:25" x14ac:dyDescent="0.3">
      <c r="A161" s="12"/>
      <c r="C161" s="105" t="s">
        <v>485</v>
      </c>
      <c r="D161" s="4" t="s">
        <v>1845</v>
      </c>
      <c r="E161" s="116" t="s">
        <v>621</v>
      </c>
      <c r="F161" s="120" t="s">
        <v>1913</v>
      </c>
      <c r="G161" s="240" t="s">
        <v>2039</v>
      </c>
      <c r="H161" s="33"/>
      <c r="I161" s="42"/>
      <c r="J161" s="42"/>
      <c r="K161" s="396">
        <v>-24.28</v>
      </c>
      <c r="L161" s="396">
        <f t="shared" si="13"/>
        <v>-24.28</v>
      </c>
      <c r="M161" s="43">
        <f t="shared" si="7"/>
        <v>7949.8699999999853</v>
      </c>
      <c r="N161" s="18" t="s">
        <v>2236</v>
      </c>
      <c r="P161" s="15"/>
      <c r="R161" s="15"/>
    </row>
    <row r="162" spans="1:25" x14ac:dyDescent="0.3">
      <c r="C162" s="105" t="s">
        <v>485</v>
      </c>
      <c r="D162" s="214" t="s">
        <v>1315</v>
      </c>
      <c r="E162" s="132" t="s">
        <v>513</v>
      </c>
      <c r="F162" s="168" t="s">
        <v>1914</v>
      </c>
      <c r="G162" s="240" t="s">
        <v>2039</v>
      </c>
      <c r="H162" s="33"/>
      <c r="I162" s="321">
        <v>294</v>
      </c>
      <c r="J162" s="171"/>
      <c r="K162" s="396"/>
      <c r="L162" s="396">
        <f t="shared" si="13"/>
        <v>294</v>
      </c>
      <c r="M162" s="43">
        <f t="shared" si="7"/>
        <v>8243.8699999999844</v>
      </c>
      <c r="N162" s="18" t="s">
        <v>90</v>
      </c>
      <c r="S162" t="s">
        <v>586</v>
      </c>
      <c r="V162" s="43"/>
      <c r="X162"/>
      <c r="Y162"/>
    </row>
    <row r="163" spans="1:25" x14ac:dyDescent="0.3">
      <c r="C163" s="105" t="s">
        <v>485</v>
      </c>
      <c r="D163" s="4" t="s">
        <v>142</v>
      </c>
      <c r="E163" s="132" t="s">
        <v>513</v>
      </c>
      <c r="F163" s="168" t="s">
        <v>735</v>
      </c>
      <c r="G163" s="240" t="s">
        <v>2039</v>
      </c>
      <c r="H163" s="33"/>
      <c r="I163" s="321">
        <v>202.12</v>
      </c>
      <c r="J163" s="171"/>
      <c r="K163" s="396"/>
      <c r="L163" s="396">
        <f t="shared" ref="L163:L175" si="14">I163+K163</f>
        <v>202.12</v>
      </c>
      <c r="M163" s="43">
        <f t="shared" si="7"/>
        <v>8445.9899999999852</v>
      </c>
      <c r="N163" s="18" t="s">
        <v>90</v>
      </c>
      <c r="S163"/>
      <c r="T163"/>
      <c r="U163"/>
      <c r="V163" s="4"/>
      <c r="W163" s="57"/>
      <c r="X163"/>
      <c r="Y163"/>
    </row>
    <row r="164" spans="1:25" x14ac:dyDescent="0.3">
      <c r="C164" s="105" t="s">
        <v>485</v>
      </c>
      <c r="D164" s="4" t="s">
        <v>1937</v>
      </c>
      <c r="E164" s="112" t="s">
        <v>500</v>
      </c>
      <c r="F164" s="121" t="s">
        <v>1354</v>
      </c>
      <c r="G164" s="240" t="s">
        <v>2039</v>
      </c>
      <c r="H164" s="341"/>
      <c r="I164" s="49">
        <v>150</v>
      </c>
      <c r="J164" s="171"/>
      <c r="K164" s="396"/>
      <c r="L164" s="396">
        <f t="shared" si="14"/>
        <v>150</v>
      </c>
      <c r="M164" s="43">
        <f t="shared" si="7"/>
        <v>8595.9899999999852</v>
      </c>
      <c r="N164" s="18" t="s">
        <v>90</v>
      </c>
      <c r="S164"/>
      <c r="T164"/>
      <c r="U164"/>
      <c r="V164" s="4"/>
      <c r="W164" s="57"/>
      <c r="X164"/>
      <c r="Y164"/>
    </row>
    <row r="165" spans="1:25" x14ac:dyDescent="0.3">
      <c r="C165" s="105" t="s">
        <v>485</v>
      </c>
      <c r="D165" s="4" t="s">
        <v>1918</v>
      </c>
      <c r="E165" s="132" t="s">
        <v>512</v>
      </c>
      <c r="F165" s="168" t="s">
        <v>1924</v>
      </c>
      <c r="G165" s="240" t="s">
        <v>2039</v>
      </c>
      <c r="H165" s="33"/>
      <c r="I165" s="42">
        <v>60</v>
      </c>
      <c r="J165" s="171"/>
      <c r="K165" s="396"/>
      <c r="L165" s="396">
        <f t="shared" si="14"/>
        <v>60</v>
      </c>
      <c r="M165" s="43">
        <f t="shared" si="7"/>
        <v>8655.9899999999852</v>
      </c>
      <c r="N165" s="18" t="s">
        <v>412</v>
      </c>
      <c r="S165"/>
      <c r="T165"/>
      <c r="U165"/>
      <c r="V165" s="4"/>
      <c r="X165"/>
      <c r="Y165"/>
    </row>
    <row r="166" spans="1:25" x14ac:dyDescent="0.3">
      <c r="C166" s="105" t="s">
        <v>485</v>
      </c>
      <c r="D166" s="4" t="s">
        <v>1918</v>
      </c>
      <c r="E166" s="112" t="s">
        <v>500</v>
      </c>
      <c r="F166" s="121" t="s">
        <v>1631</v>
      </c>
      <c r="G166" s="240" t="s">
        <v>2039</v>
      </c>
      <c r="H166" s="264"/>
      <c r="I166" s="49">
        <v>50</v>
      </c>
      <c r="J166" s="171"/>
      <c r="K166" s="396"/>
      <c r="L166" s="396">
        <f t="shared" si="14"/>
        <v>50</v>
      </c>
      <c r="M166" s="43">
        <f t="shared" si="7"/>
        <v>8705.9899999999852</v>
      </c>
      <c r="N166" s="18" t="s">
        <v>412</v>
      </c>
      <c r="S166"/>
      <c r="T166"/>
      <c r="U166"/>
      <c r="V166" s="4"/>
      <c r="X166"/>
      <c r="Y166"/>
    </row>
    <row r="167" spans="1:25" x14ac:dyDescent="0.3">
      <c r="C167" s="105" t="s">
        <v>485</v>
      </c>
      <c r="D167" s="4" t="s">
        <v>1790</v>
      </c>
      <c r="E167" s="133" t="s">
        <v>518</v>
      </c>
      <c r="F167" s="168" t="s">
        <v>1916</v>
      </c>
      <c r="G167" s="240" t="s">
        <v>2039</v>
      </c>
      <c r="H167" s="33"/>
      <c r="I167" s="42"/>
      <c r="J167" s="171"/>
      <c r="K167" s="396">
        <v>-185</v>
      </c>
      <c r="L167" s="396">
        <f t="shared" si="14"/>
        <v>-185</v>
      </c>
      <c r="M167" s="43">
        <f t="shared" si="7"/>
        <v>8520.9899999999852</v>
      </c>
      <c r="N167" s="18" t="s">
        <v>2236</v>
      </c>
      <c r="S167"/>
      <c r="T167"/>
      <c r="U167"/>
      <c r="V167" s="125"/>
      <c r="X167"/>
      <c r="Y167"/>
    </row>
    <row r="168" spans="1:25" x14ac:dyDescent="0.3">
      <c r="C168" s="105" t="s">
        <v>485</v>
      </c>
      <c r="D168" s="4" t="s">
        <v>293</v>
      </c>
      <c r="E168" s="116" t="s">
        <v>468</v>
      </c>
      <c r="F168" s="168" t="s">
        <v>1917</v>
      </c>
      <c r="G168" s="240" t="s">
        <v>2039</v>
      </c>
      <c r="H168" s="33"/>
      <c r="I168" s="42"/>
      <c r="J168" s="171"/>
      <c r="K168" s="396">
        <v>-88</v>
      </c>
      <c r="L168" s="396">
        <f t="shared" si="14"/>
        <v>-88</v>
      </c>
      <c r="M168" s="43">
        <f t="shared" si="7"/>
        <v>8432.9899999999852</v>
      </c>
      <c r="N168" s="18" t="s">
        <v>2236</v>
      </c>
      <c r="V168" s="43"/>
      <c r="W168" s="11">
        <f>SUM(V163:V168)</f>
        <v>0</v>
      </c>
      <c r="X168"/>
      <c r="Y168"/>
    </row>
    <row r="169" spans="1:25" x14ac:dyDescent="0.3">
      <c r="C169" s="105" t="s">
        <v>485</v>
      </c>
      <c r="D169" s="4" t="s">
        <v>1672</v>
      </c>
      <c r="E169" s="133" t="s">
        <v>11</v>
      </c>
      <c r="F169" s="168" t="s">
        <v>1919</v>
      </c>
      <c r="G169" s="240" t="s">
        <v>2039</v>
      </c>
      <c r="H169" s="33"/>
      <c r="I169" s="42"/>
      <c r="J169" s="171"/>
      <c r="K169" s="396">
        <v>-4.1900000000000004</v>
      </c>
      <c r="L169" s="396">
        <f t="shared" si="14"/>
        <v>-4.1900000000000004</v>
      </c>
      <c r="M169" s="43">
        <f t="shared" si="7"/>
        <v>8428.7999999999847</v>
      </c>
      <c r="N169" s="18" t="s">
        <v>2236</v>
      </c>
      <c r="X169"/>
      <c r="Y169"/>
    </row>
    <row r="170" spans="1:25" x14ac:dyDescent="0.3">
      <c r="C170" s="105" t="s">
        <v>485</v>
      </c>
      <c r="D170" s="4" t="s">
        <v>782</v>
      </c>
      <c r="E170" s="133" t="s">
        <v>518</v>
      </c>
      <c r="F170" s="168" t="s">
        <v>1920</v>
      </c>
      <c r="G170" s="240" t="s">
        <v>2039</v>
      </c>
      <c r="H170" s="33"/>
      <c r="I170" s="42"/>
      <c r="J170" s="171"/>
      <c r="K170" s="396">
        <v>-496.99</v>
      </c>
      <c r="L170" s="396">
        <f t="shared" si="14"/>
        <v>-496.99</v>
      </c>
      <c r="M170" s="43">
        <f t="shared" si="7"/>
        <v>7931.8099999999849</v>
      </c>
      <c r="N170" s="18" t="s">
        <v>2236</v>
      </c>
      <c r="X170"/>
      <c r="Y170"/>
    </row>
    <row r="171" spans="1:25" x14ac:dyDescent="0.3">
      <c r="C171" s="105" t="s">
        <v>485</v>
      </c>
      <c r="D171" s="4"/>
      <c r="E171" s="132" t="s">
        <v>2039</v>
      </c>
      <c r="F171" s="168"/>
      <c r="G171" s="240" t="s">
        <v>2039</v>
      </c>
      <c r="H171" s="33"/>
      <c r="I171" s="42"/>
      <c r="J171" s="171"/>
      <c r="K171" s="396"/>
      <c r="L171" s="396">
        <f t="shared" si="14"/>
        <v>0</v>
      </c>
      <c r="M171" s="43">
        <f>M170+L171</f>
        <v>7931.8099999999849</v>
      </c>
      <c r="X171"/>
      <c r="Y171"/>
    </row>
    <row r="172" spans="1:25" x14ac:dyDescent="0.3">
      <c r="C172" s="105" t="s">
        <v>485</v>
      </c>
      <c r="D172" s="4"/>
      <c r="E172" s="132" t="s">
        <v>2039</v>
      </c>
      <c r="F172" s="168"/>
      <c r="G172" s="240" t="s">
        <v>2039</v>
      </c>
      <c r="H172" s="33"/>
      <c r="I172" s="42"/>
      <c r="J172" s="171"/>
      <c r="K172" s="396"/>
      <c r="L172" s="396">
        <f t="shared" si="14"/>
        <v>0</v>
      </c>
      <c r="M172" s="43">
        <f>M171+L172</f>
        <v>7931.8099999999849</v>
      </c>
      <c r="X172"/>
      <c r="Y172"/>
    </row>
    <row r="173" spans="1:25" x14ac:dyDescent="0.3">
      <c r="C173" s="105" t="s">
        <v>485</v>
      </c>
      <c r="D173" s="4" t="s">
        <v>1845</v>
      </c>
      <c r="E173" s="116" t="s">
        <v>621</v>
      </c>
      <c r="F173" s="168" t="s">
        <v>1922</v>
      </c>
      <c r="G173" s="240" t="s">
        <v>2039</v>
      </c>
      <c r="H173" s="33"/>
      <c r="I173" s="42"/>
      <c r="J173" s="171"/>
      <c r="K173" s="396">
        <v>-10</v>
      </c>
      <c r="L173" s="396">
        <f t="shared" si="14"/>
        <v>-10</v>
      </c>
      <c r="M173" s="43">
        <f>M172+L173</f>
        <v>7921.8099999999849</v>
      </c>
      <c r="N173" s="18" t="s">
        <v>2236</v>
      </c>
      <c r="X173"/>
      <c r="Y173"/>
    </row>
    <row r="174" spans="1:25" x14ac:dyDescent="0.3">
      <c r="C174" s="105" t="s">
        <v>485</v>
      </c>
      <c r="D174" s="4" t="s">
        <v>1921</v>
      </c>
      <c r="E174" s="133" t="s">
        <v>518</v>
      </c>
      <c r="F174" s="168" t="s">
        <v>1171</v>
      </c>
      <c r="G174" s="240" t="s">
        <v>2039</v>
      </c>
      <c r="H174" s="33"/>
      <c r="I174" s="42"/>
      <c r="J174" s="171"/>
      <c r="K174" s="396">
        <v>-1315</v>
      </c>
      <c r="L174" s="396">
        <f t="shared" si="14"/>
        <v>-1315</v>
      </c>
      <c r="M174" s="43">
        <f>M173+L174</f>
        <v>6606.8099999999849</v>
      </c>
      <c r="N174" s="18" t="s">
        <v>2236</v>
      </c>
      <c r="X174"/>
      <c r="Y174"/>
    </row>
    <row r="175" spans="1:25" x14ac:dyDescent="0.3">
      <c r="C175" s="105" t="s">
        <v>485</v>
      </c>
      <c r="D175" s="4" t="s">
        <v>782</v>
      </c>
      <c r="E175" s="133" t="s">
        <v>518</v>
      </c>
      <c r="F175" s="269" t="s">
        <v>1923</v>
      </c>
      <c r="G175" s="240" t="s">
        <v>2039</v>
      </c>
      <c r="H175" s="264"/>
      <c r="I175" s="240"/>
      <c r="J175" s="240"/>
      <c r="K175" s="396">
        <v>-360.65</v>
      </c>
      <c r="L175" s="396">
        <f t="shared" si="14"/>
        <v>-360.65</v>
      </c>
      <c r="M175" s="43">
        <f>M174+L175</f>
        <v>6246.1599999999853</v>
      </c>
      <c r="N175" s="18" t="s">
        <v>2236</v>
      </c>
      <c r="S175" t="s">
        <v>1215</v>
      </c>
      <c r="W175" s="74">
        <f>SUM(W158:W169)</f>
        <v>6261.16</v>
      </c>
      <c r="X175" t="s">
        <v>588</v>
      </c>
    </row>
    <row r="176" spans="1:25" x14ac:dyDescent="0.3">
      <c r="C176" s="105" t="s">
        <v>485</v>
      </c>
      <c r="D176" s="4" t="s">
        <v>1172</v>
      </c>
      <c r="E176" s="132" t="s">
        <v>512</v>
      </c>
      <c r="F176" s="120"/>
      <c r="G176" s="240" t="s">
        <v>2039</v>
      </c>
      <c r="H176" s="33"/>
      <c r="I176" s="42">
        <v>15</v>
      </c>
      <c r="J176" s="42"/>
      <c r="K176" s="396"/>
      <c r="L176" s="396">
        <f t="shared" ref="L176:L185" si="15">I176+K176</f>
        <v>15</v>
      </c>
      <c r="M176" s="75">
        <f t="shared" si="7"/>
        <v>6261.1599999999853</v>
      </c>
      <c r="N176" s="18" t="s">
        <v>90</v>
      </c>
    </row>
    <row r="177" spans="1:25" x14ac:dyDescent="0.3">
      <c r="C177" s="105" t="s">
        <v>485</v>
      </c>
      <c r="D177" s="4"/>
      <c r="E177" s="132" t="s">
        <v>2039</v>
      </c>
      <c r="F177" s="120"/>
      <c r="G177" s="240" t="s">
        <v>2039</v>
      </c>
      <c r="H177" s="33"/>
      <c r="I177" s="42"/>
      <c r="J177" s="171"/>
      <c r="K177" s="396"/>
      <c r="L177" s="396">
        <f t="shared" si="15"/>
        <v>0</v>
      </c>
      <c r="M177" s="43">
        <f t="shared" si="7"/>
        <v>6261.1599999999853</v>
      </c>
      <c r="N177" s="18" t="s">
        <v>90</v>
      </c>
      <c r="O177"/>
    </row>
    <row r="178" spans="1:25" x14ac:dyDescent="0.3">
      <c r="A178" s="28" t="s">
        <v>694</v>
      </c>
      <c r="B178" s="361"/>
      <c r="C178" s="105" t="s">
        <v>486</v>
      </c>
      <c r="D178" s="4" t="s">
        <v>58</v>
      </c>
      <c r="E178" s="132" t="s">
        <v>9</v>
      </c>
      <c r="F178" s="1" t="s">
        <v>745</v>
      </c>
      <c r="G178" s="240" t="s">
        <v>2039</v>
      </c>
      <c r="K178" s="396">
        <v>-129.68</v>
      </c>
      <c r="L178" s="396">
        <f t="shared" si="15"/>
        <v>-129.68</v>
      </c>
      <c r="M178" s="43">
        <f t="shared" si="7"/>
        <v>6131.479999999985</v>
      </c>
      <c r="N178" s="16" t="s">
        <v>327</v>
      </c>
      <c r="O178"/>
    </row>
    <row r="179" spans="1:25" x14ac:dyDescent="0.3">
      <c r="C179" s="105" t="s">
        <v>486</v>
      </c>
      <c r="D179" s="4" t="s">
        <v>58</v>
      </c>
      <c r="E179" s="133" t="s">
        <v>8</v>
      </c>
      <c r="F179" s="1" t="s">
        <v>745</v>
      </c>
      <c r="G179" s="240" t="s">
        <v>2039</v>
      </c>
      <c r="H179" s="33"/>
      <c r="I179" s="42"/>
      <c r="J179" s="171"/>
      <c r="K179" s="396">
        <v>-134.69999999999999</v>
      </c>
      <c r="L179" s="396">
        <f t="shared" si="15"/>
        <v>-134.69999999999999</v>
      </c>
      <c r="M179" s="43">
        <f t="shared" si="7"/>
        <v>5996.7799999999852</v>
      </c>
      <c r="N179" s="16" t="s">
        <v>2236</v>
      </c>
      <c r="O179"/>
    </row>
    <row r="180" spans="1:25" x14ac:dyDescent="0.3">
      <c r="A180" s="12"/>
      <c r="C180" s="105" t="s">
        <v>486</v>
      </c>
      <c r="D180" s="4" t="s">
        <v>299</v>
      </c>
      <c r="E180" s="133" t="s">
        <v>301</v>
      </c>
      <c r="F180" s="213" t="s">
        <v>1801</v>
      </c>
      <c r="G180" s="240" t="s">
        <v>2039</v>
      </c>
      <c r="H180" s="214"/>
      <c r="I180" s="215"/>
      <c r="J180" s="215"/>
      <c r="K180" s="396">
        <v>-44.94</v>
      </c>
      <c r="L180" s="396">
        <f t="shared" si="15"/>
        <v>-44.94</v>
      </c>
      <c r="M180" s="43">
        <f t="shared" si="7"/>
        <v>5951.8399999999856</v>
      </c>
      <c r="N180" s="16" t="s">
        <v>327</v>
      </c>
    </row>
    <row r="181" spans="1:25" x14ac:dyDescent="0.3">
      <c r="A181" s="12"/>
      <c r="C181" s="105" t="s">
        <v>486</v>
      </c>
      <c r="D181" s="4" t="s">
        <v>607</v>
      </c>
      <c r="E181" s="133" t="s">
        <v>11</v>
      </c>
      <c r="F181" s="213" t="s">
        <v>1802</v>
      </c>
      <c r="G181" s="240" t="s">
        <v>2039</v>
      </c>
      <c r="H181" s="214"/>
      <c r="I181" s="215"/>
      <c r="J181" s="215"/>
      <c r="K181" s="396">
        <v>-29.54</v>
      </c>
      <c r="L181" s="396">
        <f t="shared" si="15"/>
        <v>-29.54</v>
      </c>
      <c r="M181" s="43">
        <f t="shared" si="7"/>
        <v>5922.2999999999856</v>
      </c>
      <c r="N181" s="16" t="s">
        <v>49</v>
      </c>
    </row>
    <row r="182" spans="1:25" x14ac:dyDescent="0.3">
      <c r="A182" s="12"/>
      <c r="C182" s="105" t="s">
        <v>486</v>
      </c>
      <c r="D182" s="354" t="s">
        <v>1109</v>
      </c>
      <c r="E182" s="133" t="s">
        <v>12</v>
      </c>
      <c r="F182" s="213" t="s">
        <v>1802</v>
      </c>
      <c r="G182" s="240" t="s">
        <v>2039</v>
      </c>
      <c r="H182" s="214"/>
      <c r="I182" s="215"/>
      <c r="J182" s="215"/>
      <c r="K182" s="396">
        <v>-38.229999999999997</v>
      </c>
      <c r="L182" s="396">
        <f t="shared" si="15"/>
        <v>-38.229999999999997</v>
      </c>
      <c r="M182" s="43">
        <f t="shared" si="7"/>
        <v>5884.0699999999861</v>
      </c>
      <c r="N182" s="16" t="s">
        <v>2236</v>
      </c>
    </row>
    <row r="183" spans="1:25" x14ac:dyDescent="0.3">
      <c r="A183" s="12"/>
      <c r="C183" s="105" t="s">
        <v>486</v>
      </c>
      <c r="D183" s="4" t="s">
        <v>48</v>
      </c>
      <c r="E183" s="133" t="s">
        <v>12</v>
      </c>
      <c r="F183" s="213" t="s">
        <v>1802</v>
      </c>
      <c r="G183" s="240" t="s">
        <v>2039</v>
      </c>
      <c r="H183" s="214"/>
      <c r="I183" s="215"/>
      <c r="J183" s="215"/>
      <c r="K183" s="396">
        <v>-72.42</v>
      </c>
      <c r="L183" s="396">
        <f t="shared" si="15"/>
        <v>-72.42</v>
      </c>
      <c r="M183" s="43">
        <f t="shared" si="7"/>
        <v>5811.649999999986</v>
      </c>
      <c r="N183" s="16" t="s">
        <v>2236</v>
      </c>
    </row>
    <row r="184" spans="1:25" x14ac:dyDescent="0.3">
      <c r="A184" s="12"/>
      <c r="C184" s="105" t="s">
        <v>486</v>
      </c>
      <c r="D184" s="4" t="s">
        <v>1544</v>
      </c>
      <c r="E184" s="133" t="s">
        <v>12</v>
      </c>
      <c r="F184" s="1" t="s">
        <v>486</v>
      </c>
      <c r="G184" s="240" t="s">
        <v>2039</v>
      </c>
      <c r="K184" s="396">
        <v>-292.5</v>
      </c>
      <c r="L184" s="396">
        <f t="shared" si="15"/>
        <v>-292.5</v>
      </c>
      <c r="M184" s="43">
        <f t="shared" si="7"/>
        <v>5519.149999999986</v>
      </c>
      <c r="N184" s="18" t="s">
        <v>2236</v>
      </c>
    </row>
    <row r="185" spans="1:25" x14ac:dyDescent="0.3">
      <c r="A185" s="12"/>
      <c r="C185" s="105" t="s">
        <v>486</v>
      </c>
      <c r="D185" s="354" t="s">
        <v>670</v>
      </c>
      <c r="E185" s="132" t="s">
        <v>513</v>
      </c>
      <c r="F185" s="269" t="s">
        <v>1925</v>
      </c>
      <c r="G185" s="240" t="s">
        <v>2039</v>
      </c>
      <c r="H185" s="264"/>
      <c r="I185" s="327">
        <v>60</v>
      </c>
      <c r="J185" s="240"/>
      <c r="K185" s="396"/>
      <c r="L185" s="396">
        <f t="shared" si="15"/>
        <v>60</v>
      </c>
      <c r="M185" s="43">
        <f t="shared" si="7"/>
        <v>5579.149999999986</v>
      </c>
      <c r="N185" s="18" t="s">
        <v>90</v>
      </c>
      <c r="O185" s="25"/>
    </row>
    <row r="186" spans="1:25" x14ac:dyDescent="0.3">
      <c r="A186" s="26"/>
      <c r="C186" s="105" t="s">
        <v>486</v>
      </c>
      <c r="D186" s="4" t="s">
        <v>174</v>
      </c>
      <c r="E186" s="132" t="s">
        <v>513</v>
      </c>
      <c r="F186" s="264" t="s">
        <v>1929</v>
      </c>
      <c r="G186" s="240" t="s">
        <v>2039</v>
      </c>
      <c r="H186" s="240"/>
      <c r="I186" s="358">
        <v>3416</v>
      </c>
      <c r="J186" s="240"/>
      <c r="K186" s="396"/>
      <c r="L186" s="396">
        <f t="shared" ref="L186:L267" si="16">I186+K186</f>
        <v>3416</v>
      </c>
      <c r="M186" s="43">
        <f t="shared" ref="M186:M267" si="17">M185+L186</f>
        <v>8995.1499999999869</v>
      </c>
      <c r="N186" s="18" t="s">
        <v>90</v>
      </c>
      <c r="O186"/>
    </row>
    <row r="187" spans="1:25" x14ac:dyDescent="0.3">
      <c r="A187" s="12"/>
      <c r="C187" s="105" t="s">
        <v>486</v>
      </c>
      <c r="D187" s="4" t="s">
        <v>1806</v>
      </c>
      <c r="E187" s="132" t="s">
        <v>512</v>
      </c>
      <c r="F187" s="168" t="s">
        <v>1926</v>
      </c>
      <c r="G187" s="240" t="s">
        <v>2039</v>
      </c>
      <c r="H187" s="210"/>
      <c r="I187" s="267">
        <v>80</v>
      </c>
      <c r="J187" s="240"/>
      <c r="K187" s="396"/>
      <c r="L187" s="396">
        <f t="shared" si="16"/>
        <v>80</v>
      </c>
      <c r="M187" s="43">
        <f t="shared" si="17"/>
        <v>9075.1499999999869</v>
      </c>
      <c r="N187" s="16" t="s">
        <v>90</v>
      </c>
      <c r="O187" s="282"/>
    </row>
    <row r="188" spans="1:25" x14ac:dyDescent="0.3">
      <c r="A188" s="12"/>
      <c r="C188" s="105" t="s">
        <v>486</v>
      </c>
      <c r="D188" s="213" t="s">
        <v>1623</v>
      </c>
      <c r="E188" s="133" t="s">
        <v>513</v>
      </c>
      <c r="F188" s="120" t="s">
        <v>2009</v>
      </c>
      <c r="G188" s="240" t="s">
        <v>2039</v>
      </c>
      <c r="H188" s="120"/>
      <c r="I188" s="267">
        <v>30</v>
      </c>
      <c r="J188" s="240"/>
      <c r="K188" s="396"/>
      <c r="L188" s="396">
        <f t="shared" si="16"/>
        <v>30</v>
      </c>
      <c r="M188" s="75">
        <f t="shared" si="17"/>
        <v>9105.1499999999869</v>
      </c>
      <c r="N188" s="16" t="s">
        <v>90</v>
      </c>
      <c r="O188" s="136"/>
    </row>
    <row r="189" spans="1:25" x14ac:dyDescent="0.3">
      <c r="C189" s="105" t="s">
        <v>486</v>
      </c>
      <c r="D189" s="213" t="s">
        <v>782</v>
      </c>
      <c r="E189" s="133" t="s">
        <v>518</v>
      </c>
      <c r="F189" s="120" t="s">
        <v>1927</v>
      </c>
      <c r="G189" s="240" t="s">
        <v>2039</v>
      </c>
      <c r="H189" s="120"/>
      <c r="I189" s="42"/>
      <c r="J189" s="42"/>
      <c r="K189" s="396">
        <v>-306.48</v>
      </c>
      <c r="L189" s="396">
        <f t="shared" si="16"/>
        <v>-306.48</v>
      </c>
      <c r="M189" s="43">
        <f t="shared" si="17"/>
        <v>8798.6699999999873</v>
      </c>
      <c r="N189" s="18" t="s">
        <v>2236</v>
      </c>
    </row>
    <row r="190" spans="1:25" x14ac:dyDescent="0.3">
      <c r="C190" s="105" t="s">
        <v>486</v>
      </c>
      <c r="D190" s="213" t="s">
        <v>782</v>
      </c>
      <c r="E190" s="133" t="s">
        <v>518</v>
      </c>
      <c r="F190" s="120" t="s">
        <v>1928</v>
      </c>
      <c r="G190" s="240" t="s">
        <v>2039</v>
      </c>
      <c r="H190" s="33"/>
      <c r="I190" s="42"/>
      <c r="J190" s="42"/>
      <c r="K190" s="396">
        <v>-150</v>
      </c>
      <c r="L190" s="396">
        <f t="shared" si="16"/>
        <v>-150</v>
      </c>
      <c r="M190" s="43">
        <f t="shared" si="17"/>
        <v>8648.6699999999873</v>
      </c>
      <c r="N190" s="18" t="s">
        <v>2236</v>
      </c>
    </row>
    <row r="191" spans="1:25" x14ac:dyDescent="0.3">
      <c r="C191" s="105" t="s">
        <v>486</v>
      </c>
      <c r="D191" s="4" t="s">
        <v>240</v>
      </c>
      <c r="E191" s="133" t="s">
        <v>512</v>
      </c>
      <c r="F191" s="120"/>
      <c r="G191" s="240" t="s">
        <v>2039</v>
      </c>
      <c r="H191" s="33"/>
      <c r="I191" s="42">
        <v>20</v>
      </c>
      <c r="J191" s="171"/>
      <c r="K191" s="396"/>
      <c r="L191" s="396">
        <f t="shared" si="16"/>
        <v>20</v>
      </c>
      <c r="M191" s="43">
        <f t="shared" si="17"/>
        <v>8668.6699999999873</v>
      </c>
      <c r="N191" s="18" t="s">
        <v>1940</v>
      </c>
      <c r="O191"/>
      <c r="Y191"/>
    </row>
    <row r="192" spans="1:25" x14ac:dyDescent="0.3">
      <c r="C192" s="105" t="s">
        <v>486</v>
      </c>
      <c r="D192" s="4" t="s">
        <v>1790</v>
      </c>
      <c r="E192" s="133" t="s">
        <v>518</v>
      </c>
      <c r="F192" s="269" t="s">
        <v>1930</v>
      </c>
      <c r="G192" s="240" t="s">
        <v>2039</v>
      </c>
      <c r="H192" s="264"/>
      <c r="I192" s="240"/>
      <c r="J192" s="240"/>
      <c r="K192" s="396">
        <v>-45</v>
      </c>
      <c r="L192" s="396">
        <f t="shared" si="16"/>
        <v>-45</v>
      </c>
      <c r="M192" s="43">
        <f t="shared" si="17"/>
        <v>8623.6699999999873</v>
      </c>
      <c r="N192" s="18" t="s">
        <v>2236</v>
      </c>
      <c r="Y192"/>
    </row>
    <row r="193" spans="1:25" x14ac:dyDescent="0.3">
      <c r="C193" s="105" t="s">
        <v>486</v>
      </c>
      <c r="D193" s="4" t="s">
        <v>1563</v>
      </c>
      <c r="E193" s="133" t="s">
        <v>518</v>
      </c>
      <c r="F193" s="269" t="s">
        <v>1932</v>
      </c>
      <c r="G193" s="240" t="s">
        <v>2039</v>
      </c>
      <c r="H193" s="264"/>
      <c r="I193" s="240"/>
      <c r="J193" s="240"/>
      <c r="K193" s="396">
        <v>-165</v>
      </c>
      <c r="L193" s="396">
        <f t="shared" si="16"/>
        <v>-165</v>
      </c>
      <c r="M193" s="43">
        <f t="shared" si="17"/>
        <v>8458.6699999999873</v>
      </c>
      <c r="N193" s="18" t="s">
        <v>2236</v>
      </c>
      <c r="P193" s="30" t="s">
        <v>1931</v>
      </c>
      <c r="Q193" s="30"/>
      <c r="R193" s="30"/>
      <c r="S193"/>
      <c r="T193"/>
      <c r="U193"/>
      <c r="Y193"/>
    </row>
    <row r="194" spans="1:25" x14ac:dyDescent="0.3">
      <c r="A194" s="12"/>
      <c r="C194" s="105" t="s">
        <v>486</v>
      </c>
      <c r="D194" s="214" t="s">
        <v>1936</v>
      </c>
      <c r="E194" s="133" t="s">
        <v>518</v>
      </c>
      <c r="F194" s="269" t="s">
        <v>1933</v>
      </c>
      <c r="G194" s="240" t="s">
        <v>2039</v>
      </c>
      <c r="H194" s="264"/>
      <c r="I194" s="240"/>
      <c r="J194" s="240"/>
      <c r="K194" s="396">
        <v>-182</v>
      </c>
      <c r="L194" s="396">
        <f t="shared" si="16"/>
        <v>-182</v>
      </c>
      <c r="M194" s="43">
        <f t="shared" si="17"/>
        <v>8276.6699999999873</v>
      </c>
      <c r="N194" s="18" t="s">
        <v>90</v>
      </c>
      <c r="O194" s="18"/>
      <c r="P194"/>
      <c r="Q194"/>
      <c r="R194"/>
      <c r="S194"/>
      <c r="T194"/>
      <c r="U194"/>
      <c r="V194"/>
      <c r="Y194"/>
    </row>
    <row r="195" spans="1:25" x14ac:dyDescent="0.3">
      <c r="C195" s="105" t="s">
        <v>486</v>
      </c>
      <c r="D195" s="4" t="s">
        <v>216</v>
      </c>
      <c r="E195" s="132" t="s">
        <v>513</v>
      </c>
      <c r="F195" s="269" t="s">
        <v>1934</v>
      </c>
      <c r="G195" s="240" t="s">
        <v>2039</v>
      </c>
      <c r="H195" s="264"/>
      <c r="I195" s="327">
        <v>220.5</v>
      </c>
      <c r="J195" s="240"/>
      <c r="K195" s="396"/>
      <c r="L195" s="396">
        <f t="shared" si="16"/>
        <v>220.5</v>
      </c>
      <c r="M195" s="43">
        <f t="shared" si="17"/>
        <v>8497.1699999999873</v>
      </c>
      <c r="N195" s="16" t="s">
        <v>1940</v>
      </c>
      <c r="P195" t="s">
        <v>584</v>
      </c>
      <c r="Q195"/>
      <c r="R195"/>
      <c r="S195"/>
      <c r="T195">
        <f>7730.11</f>
        <v>7730.11</v>
      </c>
      <c r="U195"/>
      <c r="V195"/>
      <c r="X195"/>
    </row>
    <row r="196" spans="1:25" x14ac:dyDescent="0.3">
      <c r="C196" s="105" t="s">
        <v>486</v>
      </c>
      <c r="D196" s="4" t="s">
        <v>1935</v>
      </c>
      <c r="E196" s="133" t="s">
        <v>622</v>
      </c>
      <c r="F196" s="120"/>
      <c r="G196" s="240" t="s">
        <v>2039</v>
      </c>
      <c r="H196" s="33"/>
      <c r="I196" s="42">
        <v>30</v>
      </c>
      <c r="J196" s="42"/>
      <c r="K196" s="396"/>
      <c r="L196" s="396">
        <f t="shared" si="16"/>
        <v>30</v>
      </c>
      <c r="M196" s="43">
        <f t="shared" si="17"/>
        <v>8527.1699999999873</v>
      </c>
      <c r="N196" s="16" t="s">
        <v>90</v>
      </c>
      <c r="P196" t="s">
        <v>586</v>
      </c>
      <c r="R196" s="15"/>
      <c r="S196" s="43"/>
      <c r="T196"/>
      <c r="U196"/>
      <c r="V196"/>
      <c r="X196"/>
    </row>
    <row r="197" spans="1:25" x14ac:dyDescent="0.3">
      <c r="C197" s="105" t="s">
        <v>486</v>
      </c>
      <c r="D197" s="4" t="s">
        <v>1079</v>
      </c>
      <c r="E197" s="133" t="s">
        <v>13</v>
      </c>
      <c r="F197" s="120" t="s">
        <v>1529</v>
      </c>
      <c r="G197" s="240" t="s">
        <v>2039</v>
      </c>
      <c r="H197" s="33"/>
      <c r="I197" s="42"/>
      <c r="J197" s="42"/>
      <c r="K197" s="396">
        <v>-35</v>
      </c>
      <c r="L197" s="396">
        <f t="shared" ref="L197:L216" si="18">I197+K197</f>
        <v>-35</v>
      </c>
      <c r="M197" s="43">
        <f t="shared" ref="M197:M228" si="19">M196+L197</f>
        <v>8492.1699999999873</v>
      </c>
      <c r="N197" s="16" t="s">
        <v>90</v>
      </c>
      <c r="P197"/>
      <c r="Q197"/>
      <c r="R197"/>
      <c r="S197" s="4"/>
      <c r="T197"/>
      <c r="U197"/>
      <c r="V197"/>
      <c r="X197"/>
    </row>
    <row r="198" spans="1:25" x14ac:dyDescent="0.3">
      <c r="C198" s="105" t="s">
        <v>486</v>
      </c>
      <c r="D198" s="4" t="s">
        <v>1939</v>
      </c>
      <c r="E198" s="132" t="s">
        <v>513</v>
      </c>
      <c r="F198" s="120" t="s">
        <v>1938</v>
      </c>
      <c r="G198" s="240" t="s">
        <v>2039</v>
      </c>
      <c r="H198" s="33"/>
      <c r="I198" s="42"/>
      <c r="J198" s="42"/>
      <c r="K198" s="396">
        <v>-14</v>
      </c>
      <c r="L198" s="396">
        <f t="shared" si="18"/>
        <v>-14</v>
      </c>
      <c r="M198" s="43">
        <f t="shared" si="19"/>
        <v>8478.1699999999873</v>
      </c>
      <c r="N198" s="16" t="s">
        <v>90</v>
      </c>
      <c r="P198"/>
      <c r="Q198"/>
      <c r="R198"/>
      <c r="S198" s="4"/>
      <c r="T198" s="125"/>
      <c r="U198"/>
      <c r="V198"/>
      <c r="X198"/>
    </row>
    <row r="199" spans="1:25" x14ac:dyDescent="0.3">
      <c r="C199" s="105" t="s">
        <v>486</v>
      </c>
      <c r="D199" s="4" t="s">
        <v>1918</v>
      </c>
      <c r="E199" s="112" t="s">
        <v>504</v>
      </c>
      <c r="F199" s="121" t="s">
        <v>1057</v>
      </c>
      <c r="G199" s="240" t="s">
        <v>2039</v>
      </c>
      <c r="H199" s="33"/>
      <c r="I199" s="42"/>
      <c r="J199" s="42"/>
      <c r="K199" s="396">
        <v>-50</v>
      </c>
      <c r="L199" s="396">
        <f t="shared" si="18"/>
        <v>-50</v>
      </c>
      <c r="M199" s="43">
        <f t="shared" si="19"/>
        <v>8428.1699999999873</v>
      </c>
      <c r="N199" s="16" t="s">
        <v>90</v>
      </c>
      <c r="P199"/>
      <c r="Q199"/>
      <c r="R199"/>
      <c r="S199" s="4"/>
      <c r="T199" s="125"/>
      <c r="U199" t="s">
        <v>90</v>
      </c>
      <c r="V199"/>
      <c r="X199"/>
    </row>
    <row r="200" spans="1:25" x14ac:dyDescent="0.3">
      <c r="C200" s="105" t="s">
        <v>486</v>
      </c>
      <c r="D200" s="4" t="s">
        <v>234</v>
      </c>
      <c r="E200" s="133" t="s">
        <v>12</v>
      </c>
      <c r="F200" s="120" t="s">
        <v>1941</v>
      </c>
      <c r="G200" s="240" t="s">
        <v>2039</v>
      </c>
      <c r="H200" s="33"/>
      <c r="I200" s="42"/>
      <c r="J200" s="42"/>
      <c r="K200" s="396">
        <v>-46.38</v>
      </c>
      <c r="L200" s="396">
        <f t="shared" si="18"/>
        <v>-46.38</v>
      </c>
      <c r="M200" s="43">
        <f t="shared" si="19"/>
        <v>8381.7899999999881</v>
      </c>
      <c r="N200" s="16" t="s">
        <v>2236</v>
      </c>
      <c r="P200"/>
      <c r="Q200"/>
      <c r="R200"/>
      <c r="S200" s="4"/>
      <c r="T200" s="125">
        <f>SUM(S197:S199)</f>
        <v>0</v>
      </c>
      <c r="U200"/>
      <c r="V200"/>
      <c r="X200"/>
    </row>
    <row r="201" spans="1:25" x14ac:dyDescent="0.3">
      <c r="C201" s="105" t="s">
        <v>486</v>
      </c>
      <c r="D201" s="4" t="s">
        <v>1731</v>
      </c>
      <c r="E201" s="112" t="s">
        <v>504</v>
      </c>
      <c r="F201" s="121" t="s">
        <v>1007</v>
      </c>
      <c r="G201" s="240" t="s">
        <v>2039</v>
      </c>
      <c r="H201" s="33"/>
      <c r="I201" s="42"/>
      <c r="J201" s="42"/>
      <c r="K201" s="396">
        <v>-50</v>
      </c>
      <c r="L201" s="396">
        <f t="shared" si="18"/>
        <v>-50</v>
      </c>
      <c r="M201" s="43">
        <f t="shared" si="19"/>
        <v>8331.7899999999881</v>
      </c>
      <c r="N201" s="16" t="s">
        <v>412</v>
      </c>
      <c r="U201"/>
      <c r="V201"/>
      <c r="X201"/>
    </row>
    <row r="202" spans="1:25" x14ac:dyDescent="0.3">
      <c r="C202" s="105" t="s">
        <v>486</v>
      </c>
      <c r="D202" s="4" t="s">
        <v>1731</v>
      </c>
      <c r="E202" s="133" t="s">
        <v>512</v>
      </c>
      <c r="F202" s="120" t="s">
        <v>1942</v>
      </c>
      <c r="G202" s="240" t="s">
        <v>2039</v>
      </c>
      <c r="H202" s="33"/>
      <c r="I202" s="42">
        <v>20</v>
      </c>
      <c r="J202" s="42"/>
      <c r="K202" s="396"/>
      <c r="L202" s="396">
        <f t="shared" si="18"/>
        <v>20</v>
      </c>
      <c r="M202" s="43">
        <f t="shared" si="19"/>
        <v>8351.7899999999881</v>
      </c>
      <c r="N202" s="16" t="s">
        <v>412</v>
      </c>
      <c r="U202"/>
      <c r="V202"/>
      <c r="X202"/>
    </row>
    <row r="203" spans="1:25" x14ac:dyDescent="0.3">
      <c r="C203" s="105" t="s">
        <v>486</v>
      </c>
      <c r="D203" s="4" t="s">
        <v>1944</v>
      </c>
      <c r="E203" s="132" t="s">
        <v>513</v>
      </c>
      <c r="F203" s="120" t="s">
        <v>1943</v>
      </c>
      <c r="G203" s="240" t="s">
        <v>2039</v>
      </c>
      <c r="H203" s="33"/>
      <c r="I203" s="42"/>
      <c r="J203" s="42"/>
      <c r="K203" s="396">
        <v>-560</v>
      </c>
      <c r="L203" s="396">
        <f t="shared" si="18"/>
        <v>-560</v>
      </c>
      <c r="M203" s="43">
        <f t="shared" si="19"/>
        <v>7791.7899999999881</v>
      </c>
      <c r="N203" s="16" t="s">
        <v>90</v>
      </c>
      <c r="P203"/>
      <c r="Q203"/>
      <c r="R203" s="15"/>
      <c r="S203" s="43"/>
      <c r="T203" s="4"/>
      <c r="U203"/>
      <c r="V203"/>
      <c r="X203"/>
    </row>
    <row r="204" spans="1:25" x14ac:dyDescent="0.3">
      <c r="C204" s="105" t="s">
        <v>486</v>
      </c>
      <c r="D204" s="4" t="s">
        <v>1945</v>
      </c>
      <c r="E204" s="112" t="s">
        <v>504</v>
      </c>
      <c r="F204" s="121" t="s">
        <v>1021</v>
      </c>
      <c r="G204" s="240" t="s">
        <v>2039</v>
      </c>
      <c r="H204" s="33"/>
      <c r="I204" s="42"/>
      <c r="J204" s="42"/>
      <c r="K204" s="396">
        <v>-50</v>
      </c>
      <c r="L204" s="396">
        <f t="shared" si="18"/>
        <v>-50</v>
      </c>
      <c r="M204" s="43">
        <f t="shared" si="19"/>
        <v>7741.7899999999881</v>
      </c>
      <c r="N204" s="16" t="s">
        <v>90</v>
      </c>
      <c r="P204"/>
      <c r="Q204"/>
      <c r="R204"/>
      <c r="S204"/>
      <c r="T204"/>
      <c r="U204"/>
      <c r="V204"/>
      <c r="X204"/>
    </row>
    <row r="205" spans="1:25" x14ac:dyDescent="0.3">
      <c r="C205" s="105" t="s">
        <v>486</v>
      </c>
      <c r="D205" s="4" t="s">
        <v>234</v>
      </c>
      <c r="E205" s="116" t="s">
        <v>621</v>
      </c>
      <c r="F205" s="168" t="s">
        <v>1946</v>
      </c>
      <c r="G205" s="240" t="s">
        <v>2039</v>
      </c>
      <c r="H205" s="33"/>
      <c r="I205" s="42"/>
      <c r="J205" s="42"/>
      <c r="K205" s="396">
        <v>-11.68</v>
      </c>
      <c r="L205" s="396">
        <f t="shared" si="18"/>
        <v>-11.68</v>
      </c>
      <c r="M205" s="75">
        <f t="shared" si="19"/>
        <v>7730.1099999999878</v>
      </c>
      <c r="N205" s="16" t="s">
        <v>2236</v>
      </c>
      <c r="P205" t="s">
        <v>652</v>
      </c>
      <c r="Q205"/>
      <c r="R205"/>
      <c r="S205"/>
      <c r="T205" s="23">
        <f>SUM(T194:T204)</f>
        <v>7730.11</v>
      </c>
      <c r="U205" t="s">
        <v>588</v>
      </c>
      <c r="V205"/>
      <c r="X205"/>
    </row>
    <row r="206" spans="1:25" x14ac:dyDescent="0.3">
      <c r="C206" s="105" t="s">
        <v>486</v>
      </c>
      <c r="D206" s="4"/>
      <c r="E206" s="116" t="s">
        <v>2039</v>
      </c>
      <c r="F206" s="168"/>
      <c r="G206" s="240" t="s">
        <v>2039</v>
      </c>
      <c r="H206" s="33"/>
      <c r="I206" s="42"/>
      <c r="J206" s="42"/>
      <c r="K206" s="396"/>
      <c r="L206" s="396"/>
      <c r="M206" s="43">
        <f t="shared" si="19"/>
        <v>7730.1099999999878</v>
      </c>
      <c r="N206" s="16"/>
      <c r="P206"/>
      <c r="Q206"/>
      <c r="R206"/>
      <c r="S206"/>
      <c r="T206" s="23"/>
      <c r="U206"/>
      <c r="V206"/>
      <c r="X206"/>
    </row>
    <row r="207" spans="1:25" x14ac:dyDescent="0.3">
      <c r="A207" s="28" t="s">
        <v>712</v>
      </c>
      <c r="B207" s="361"/>
      <c r="C207" s="106" t="s">
        <v>487</v>
      </c>
      <c r="D207" s="4" t="s">
        <v>58</v>
      </c>
      <c r="E207" s="132" t="s">
        <v>9</v>
      </c>
      <c r="F207" s="1" t="s">
        <v>486</v>
      </c>
      <c r="G207" s="240" t="s">
        <v>2039</v>
      </c>
      <c r="K207" s="396">
        <v>-101.86</v>
      </c>
      <c r="L207" s="396">
        <f t="shared" si="18"/>
        <v>-101.86</v>
      </c>
      <c r="M207" s="43">
        <f t="shared" si="19"/>
        <v>7628.2499999999882</v>
      </c>
      <c r="N207" s="16" t="s">
        <v>327</v>
      </c>
      <c r="V207"/>
      <c r="X207"/>
    </row>
    <row r="208" spans="1:25" x14ac:dyDescent="0.3">
      <c r="C208" s="106" t="s">
        <v>487</v>
      </c>
      <c r="D208" s="4" t="s">
        <v>58</v>
      </c>
      <c r="E208" s="133" t="s">
        <v>8</v>
      </c>
      <c r="F208" s="1" t="s">
        <v>486</v>
      </c>
      <c r="G208" s="240" t="s">
        <v>2039</v>
      </c>
      <c r="H208" s="33"/>
      <c r="I208" s="42"/>
      <c r="J208" s="171"/>
      <c r="K208" s="396">
        <v>-74.569999999999993</v>
      </c>
      <c r="L208" s="396">
        <f t="shared" si="18"/>
        <v>-74.569999999999993</v>
      </c>
      <c r="M208" s="43">
        <f t="shared" si="19"/>
        <v>7553.6799999999885</v>
      </c>
      <c r="N208" s="16" t="s">
        <v>2236</v>
      </c>
      <c r="V208"/>
      <c r="X208"/>
    </row>
    <row r="209" spans="1:26" x14ac:dyDescent="0.3">
      <c r="C209" s="106" t="s">
        <v>487</v>
      </c>
      <c r="D209" s="4" t="s">
        <v>299</v>
      </c>
      <c r="E209" s="133" t="s">
        <v>301</v>
      </c>
      <c r="F209" s="213" t="s">
        <v>1801</v>
      </c>
      <c r="G209" s="240" t="s">
        <v>2039</v>
      </c>
      <c r="H209" s="214"/>
      <c r="I209" s="215"/>
      <c r="J209" s="215"/>
      <c r="K209" s="396">
        <v>-45.7</v>
      </c>
      <c r="L209" s="396">
        <f t="shared" si="18"/>
        <v>-45.7</v>
      </c>
      <c r="M209" s="43">
        <f t="shared" si="19"/>
        <v>7507.9799999999886</v>
      </c>
      <c r="N209" s="16" t="s">
        <v>327</v>
      </c>
      <c r="T209"/>
      <c r="U209"/>
      <c r="V209"/>
      <c r="X209"/>
    </row>
    <row r="210" spans="1:26" x14ac:dyDescent="0.3">
      <c r="C210" s="106" t="s">
        <v>487</v>
      </c>
      <c r="D210" s="4" t="s">
        <v>607</v>
      </c>
      <c r="E210" s="133" t="s">
        <v>11</v>
      </c>
      <c r="F210" s="213" t="s">
        <v>1802</v>
      </c>
      <c r="G210" s="240" t="s">
        <v>2039</v>
      </c>
      <c r="H210" s="214"/>
      <c r="I210" s="215"/>
      <c r="J210" s="215"/>
      <c r="K210" s="396">
        <v>-29.54</v>
      </c>
      <c r="L210" s="396">
        <f t="shared" si="18"/>
        <v>-29.54</v>
      </c>
      <c r="M210" s="43">
        <f t="shared" si="19"/>
        <v>7478.4399999999887</v>
      </c>
      <c r="N210" s="16" t="s">
        <v>49</v>
      </c>
      <c r="T210"/>
      <c r="U210"/>
      <c r="V210"/>
      <c r="X210"/>
    </row>
    <row r="211" spans="1:26" x14ac:dyDescent="0.3">
      <c r="C211" s="106" t="s">
        <v>487</v>
      </c>
      <c r="D211" s="354" t="s">
        <v>1109</v>
      </c>
      <c r="E211" s="133" t="s">
        <v>12</v>
      </c>
      <c r="F211" s="213" t="s">
        <v>1802</v>
      </c>
      <c r="G211" s="240" t="s">
        <v>2039</v>
      </c>
      <c r="H211" s="214"/>
      <c r="I211" s="215"/>
      <c r="J211" s="215"/>
      <c r="K211" s="396">
        <v>-67.44</v>
      </c>
      <c r="L211" s="396">
        <f t="shared" si="18"/>
        <v>-67.44</v>
      </c>
      <c r="M211" s="43">
        <f t="shared" si="19"/>
        <v>7410.9999999999891</v>
      </c>
      <c r="N211" s="16" t="s">
        <v>2236</v>
      </c>
      <c r="T211"/>
      <c r="U211"/>
      <c r="V211"/>
      <c r="X211"/>
    </row>
    <row r="212" spans="1:26" x14ac:dyDescent="0.3">
      <c r="C212" s="106" t="s">
        <v>487</v>
      </c>
      <c r="D212" s="4" t="s">
        <v>48</v>
      </c>
      <c r="E212" s="133" t="s">
        <v>12</v>
      </c>
      <c r="F212" s="213" t="s">
        <v>1802</v>
      </c>
      <c r="G212" s="240" t="s">
        <v>2039</v>
      </c>
      <c r="H212" s="214"/>
      <c r="I212" s="215"/>
      <c r="J212" s="215"/>
      <c r="K212" s="396">
        <v>-72.42</v>
      </c>
      <c r="L212" s="396">
        <f t="shared" si="18"/>
        <v>-72.42</v>
      </c>
      <c r="M212" s="43">
        <f t="shared" si="19"/>
        <v>7338.579999999989</v>
      </c>
      <c r="N212" s="16" t="s">
        <v>2236</v>
      </c>
      <c r="P212" s="30" t="s">
        <v>1952</v>
      </c>
      <c r="Q212" s="30"/>
      <c r="R212" s="30"/>
      <c r="S212"/>
      <c r="T212"/>
      <c r="U212"/>
      <c r="V212"/>
      <c r="X212"/>
    </row>
    <row r="213" spans="1:26" x14ac:dyDescent="0.3">
      <c r="C213" s="106" t="s">
        <v>487</v>
      </c>
      <c r="D213" s="4" t="s">
        <v>1544</v>
      </c>
      <c r="E213" s="133" t="s">
        <v>12</v>
      </c>
      <c r="F213" s="1" t="s">
        <v>486</v>
      </c>
      <c r="G213" s="240" t="s">
        <v>2039</v>
      </c>
      <c r="K213" s="396">
        <v>-302.49</v>
      </c>
      <c r="L213" s="396">
        <f t="shared" si="18"/>
        <v>-302.49</v>
      </c>
      <c r="M213" s="43">
        <f t="shared" si="19"/>
        <v>7036.0899999999892</v>
      </c>
      <c r="N213" s="16" t="s">
        <v>2236</v>
      </c>
      <c r="P213"/>
      <c r="Q213"/>
      <c r="R213"/>
      <c r="S213"/>
      <c r="T213"/>
      <c r="U213"/>
      <c r="V213"/>
      <c r="X213"/>
    </row>
    <row r="214" spans="1:26" x14ac:dyDescent="0.3">
      <c r="C214" s="106" t="s">
        <v>487</v>
      </c>
      <c r="D214" s="354" t="s">
        <v>670</v>
      </c>
      <c r="E214" s="132" t="s">
        <v>513</v>
      </c>
      <c r="F214" s="269" t="s">
        <v>1925</v>
      </c>
      <c r="G214" s="240" t="s">
        <v>2039</v>
      </c>
      <c r="H214" s="264"/>
      <c r="I214" s="327">
        <v>60</v>
      </c>
      <c r="J214" s="240"/>
      <c r="K214" s="396"/>
      <c r="L214" s="396">
        <f t="shared" si="18"/>
        <v>60</v>
      </c>
      <c r="M214" s="43">
        <f t="shared" si="19"/>
        <v>7096.0899999999892</v>
      </c>
      <c r="N214" s="16" t="s">
        <v>90</v>
      </c>
      <c r="P214" t="s">
        <v>584</v>
      </c>
      <c r="Q214"/>
      <c r="R214"/>
      <c r="S214"/>
      <c r="T214">
        <f>7036.69-60</f>
        <v>6976.69</v>
      </c>
      <c r="U214"/>
      <c r="V214"/>
      <c r="X214"/>
    </row>
    <row r="215" spans="1:26" x14ac:dyDescent="0.3">
      <c r="C215" s="106" t="s">
        <v>487</v>
      </c>
      <c r="D215" s="4" t="s">
        <v>1870</v>
      </c>
      <c r="E215" s="132" t="s">
        <v>513</v>
      </c>
      <c r="F215" s="120" t="s">
        <v>1947</v>
      </c>
      <c r="G215" s="240" t="s">
        <v>2039</v>
      </c>
      <c r="H215" s="33"/>
      <c r="I215" s="321">
        <v>126</v>
      </c>
      <c r="J215" s="42"/>
      <c r="K215" s="396"/>
      <c r="L215" s="396">
        <f t="shared" si="18"/>
        <v>126</v>
      </c>
      <c r="M215" s="43">
        <f t="shared" si="19"/>
        <v>7222.0899999999892</v>
      </c>
      <c r="N215" s="16" t="s">
        <v>90</v>
      </c>
      <c r="P215" t="s">
        <v>586</v>
      </c>
      <c r="R215" s="15"/>
      <c r="S215" s="43"/>
      <c r="T215"/>
      <c r="U215"/>
      <c r="V215"/>
      <c r="X215"/>
    </row>
    <row r="216" spans="1:26" x14ac:dyDescent="0.3">
      <c r="A216" s="12"/>
      <c r="C216" s="106" t="s">
        <v>487</v>
      </c>
      <c r="D216" s="4" t="s">
        <v>1845</v>
      </c>
      <c r="E216" s="116" t="s">
        <v>621</v>
      </c>
      <c r="F216" s="120" t="s">
        <v>1948</v>
      </c>
      <c r="G216" s="240" t="s">
        <v>2039</v>
      </c>
      <c r="H216" s="264"/>
      <c r="I216" s="240"/>
      <c r="J216" s="240"/>
      <c r="K216" s="396">
        <v>-250</v>
      </c>
      <c r="L216" s="396">
        <f t="shared" si="18"/>
        <v>-250</v>
      </c>
      <c r="M216" s="43">
        <f t="shared" si="19"/>
        <v>6972.0899999999892</v>
      </c>
      <c r="N216" s="18" t="s">
        <v>2257</v>
      </c>
      <c r="O216" s="25"/>
      <c r="P216"/>
      <c r="Q216"/>
      <c r="R216"/>
      <c r="S216" s="4"/>
      <c r="T216"/>
      <c r="U216"/>
      <c r="Y216"/>
    </row>
    <row r="217" spans="1:26" x14ac:dyDescent="0.3">
      <c r="A217" s="12"/>
      <c r="C217" s="106" t="s">
        <v>487</v>
      </c>
      <c r="D217" s="4" t="s">
        <v>1623</v>
      </c>
      <c r="E217" s="133" t="s">
        <v>513</v>
      </c>
      <c r="F217" s="120" t="s">
        <v>2003</v>
      </c>
      <c r="G217" s="240" t="s">
        <v>2039</v>
      </c>
      <c r="H217" s="264"/>
      <c r="I217" s="240">
        <v>103</v>
      </c>
      <c r="J217" s="240"/>
      <c r="K217" s="396"/>
      <c r="L217" s="396">
        <f t="shared" si="16"/>
        <v>103</v>
      </c>
      <c r="M217" s="43">
        <f t="shared" si="19"/>
        <v>7075.0899999999892</v>
      </c>
      <c r="N217" s="18" t="s">
        <v>90</v>
      </c>
      <c r="O217"/>
      <c r="P217"/>
      <c r="Q217"/>
      <c r="R217"/>
      <c r="S217" s="4"/>
      <c r="T217" s="125"/>
      <c r="U217"/>
    </row>
    <row r="218" spans="1:26" x14ac:dyDescent="0.3">
      <c r="A218" s="12"/>
      <c r="C218" s="106" t="s">
        <v>487</v>
      </c>
      <c r="D218" s="4" t="s">
        <v>1442</v>
      </c>
      <c r="E218" s="133" t="s">
        <v>13</v>
      </c>
      <c r="F218" s="269" t="s">
        <v>315</v>
      </c>
      <c r="G218" s="240" t="s">
        <v>2039</v>
      </c>
      <c r="H218" s="264"/>
      <c r="I218" s="240"/>
      <c r="J218" s="240"/>
      <c r="K218" s="396">
        <v>-439.4</v>
      </c>
      <c r="L218" s="396">
        <f t="shared" si="16"/>
        <v>-439.4</v>
      </c>
      <c r="M218" s="43">
        <f t="shared" si="19"/>
        <v>6635.6899999999896</v>
      </c>
      <c r="N218" s="18" t="s">
        <v>2236</v>
      </c>
      <c r="P218"/>
      <c r="Q218"/>
      <c r="R218"/>
      <c r="S218" s="4"/>
      <c r="T218" s="125"/>
      <c r="U218" t="s">
        <v>90</v>
      </c>
    </row>
    <row r="219" spans="1:26" x14ac:dyDescent="0.3">
      <c r="C219" s="106" t="s">
        <v>487</v>
      </c>
      <c r="D219" s="280" t="s">
        <v>1949</v>
      </c>
      <c r="E219" s="132" t="s">
        <v>512</v>
      </c>
      <c r="F219" s="168" t="s">
        <v>1951</v>
      </c>
      <c r="G219" s="240" t="s">
        <v>2039</v>
      </c>
      <c r="H219" s="33"/>
      <c r="I219" s="42">
        <v>60</v>
      </c>
      <c r="J219" s="42"/>
      <c r="K219" s="396"/>
      <c r="L219" s="396">
        <f t="shared" si="16"/>
        <v>60</v>
      </c>
      <c r="M219" s="43">
        <f t="shared" si="19"/>
        <v>6695.6899999999896</v>
      </c>
      <c r="N219" s="18" t="s">
        <v>412</v>
      </c>
      <c r="P219"/>
      <c r="Q219"/>
      <c r="R219"/>
      <c r="S219" s="4"/>
      <c r="T219" s="125">
        <f>SUM(S216:S218)</f>
        <v>0</v>
      </c>
      <c r="U219"/>
      <c r="Y219"/>
    </row>
    <row r="220" spans="1:26" x14ac:dyDescent="0.3">
      <c r="A220" s="12"/>
      <c r="C220" s="106" t="s">
        <v>487</v>
      </c>
      <c r="D220" s="280" t="s">
        <v>1949</v>
      </c>
      <c r="E220" s="112" t="s">
        <v>500</v>
      </c>
      <c r="F220" s="121" t="s">
        <v>274</v>
      </c>
      <c r="G220" s="240" t="s">
        <v>2039</v>
      </c>
      <c r="H220" s="264"/>
      <c r="I220" s="49">
        <v>50</v>
      </c>
      <c r="J220" s="42"/>
      <c r="K220" s="396"/>
      <c r="L220" s="396">
        <f t="shared" si="16"/>
        <v>50</v>
      </c>
      <c r="M220" s="43">
        <f t="shared" si="19"/>
        <v>6745.6899999999896</v>
      </c>
      <c r="N220" s="18" t="s">
        <v>412</v>
      </c>
      <c r="U220"/>
    </row>
    <row r="221" spans="1:26" x14ac:dyDescent="0.3">
      <c r="A221" s="12"/>
      <c r="C221" s="106" t="s">
        <v>487</v>
      </c>
      <c r="D221" s="4" t="s">
        <v>1950</v>
      </c>
      <c r="E221" s="133" t="s">
        <v>518</v>
      </c>
      <c r="F221" s="120" t="s">
        <v>1396</v>
      </c>
      <c r="G221" s="240" t="s">
        <v>2039</v>
      </c>
      <c r="H221" s="120"/>
      <c r="I221" s="240"/>
      <c r="J221" s="240"/>
      <c r="K221" s="396">
        <v>-174</v>
      </c>
      <c r="L221" s="396">
        <f t="shared" si="16"/>
        <v>-174</v>
      </c>
      <c r="M221" s="43">
        <f t="shared" si="19"/>
        <v>6571.6899999999896</v>
      </c>
      <c r="N221" s="18" t="s">
        <v>2236</v>
      </c>
      <c r="U221"/>
      <c r="V221"/>
    </row>
    <row r="222" spans="1:26" x14ac:dyDescent="0.3">
      <c r="C222" s="106" t="s">
        <v>487</v>
      </c>
      <c r="D222" s="213" t="s">
        <v>1172</v>
      </c>
      <c r="E222" s="133" t="s">
        <v>512</v>
      </c>
      <c r="F222" s="269"/>
      <c r="G222" s="240" t="s">
        <v>2039</v>
      </c>
      <c r="H222" s="264"/>
      <c r="I222" s="240">
        <v>15</v>
      </c>
      <c r="J222" s="240"/>
      <c r="K222" s="396"/>
      <c r="L222" s="396">
        <f t="shared" si="16"/>
        <v>15</v>
      </c>
      <c r="M222" s="43">
        <f t="shared" si="19"/>
        <v>6586.6899999999896</v>
      </c>
      <c r="N222" s="18" t="s">
        <v>90</v>
      </c>
      <c r="P222"/>
      <c r="Q222"/>
      <c r="R222" s="15"/>
      <c r="S222" s="43"/>
      <c r="T222" s="4"/>
      <c r="U222"/>
      <c r="V222"/>
    </row>
    <row r="223" spans="1:26" x14ac:dyDescent="0.3">
      <c r="C223" s="106" t="s">
        <v>487</v>
      </c>
      <c r="D223" s="4" t="s">
        <v>166</v>
      </c>
      <c r="E223" s="132" t="s">
        <v>513</v>
      </c>
      <c r="F223" s="269"/>
      <c r="G223" s="240" t="s">
        <v>2039</v>
      </c>
      <c r="H223" s="264"/>
      <c r="I223" s="327">
        <v>340</v>
      </c>
      <c r="J223" s="240"/>
      <c r="K223" s="396"/>
      <c r="L223" s="396">
        <f t="shared" si="16"/>
        <v>340</v>
      </c>
      <c r="M223" s="43">
        <f t="shared" si="19"/>
        <v>6926.6899999999896</v>
      </c>
      <c r="N223" s="18" t="s">
        <v>90</v>
      </c>
      <c r="P223"/>
      <c r="Q223"/>
      <c r="R223"/>
      <c r="S223"/>
      <c r="T223"/>
      <c r="U223"/>
      <c r="V223"/>
      <c r="Z223" s="57"/>
    </row>
    <row r="224" spans="1:26" x14ac:dyDescent="0.3">
      <c r="A224" s="12"/>
      <c r="C224" s="106" t="s">
        <v>487</v>
      </c>
      <c r="D224" s="4" t="s">
        <v>1966</v>
      </c>
      <c r="E224" s="112" t="s">
        <v>500</v>
      </c>
      <c r="F224" s="121" t="s">
        <v>1968</v>
      </c>
      <c r="G224" s="240" t="s">
        <v>2039</v>
      </c>
      <c r="H224" s="341"/>
      <c r="I224" s="49">
        <v>50</v>
      </c>
      <c r="J224" s="171"/>
      <c r="K224" s="396"/>
      <c r="L224" s="396">
        <f t="shared" si="16"/>
        <v>50</v>
      </c>
      <c r="M224" s="75">
        <f t="shared" si="19"/>
        <v>6976.6899999999896</v>
      </c>
      <c r="N224" s="18" t="s">
        <v>90</v>
      </c>
      <c r="O224" s="25"/>
      <c r="P224" t="s">
        <v>652</v>
      </c>
      <c r="Q224"/>
      <c r="R224"/>
      <c r="S224"/>
      <c r="T224" s="23">
        <f>SUM(T213:T223)</f>
        <v>6976.69</v>
      </c>
      <c r="U224" t="s">
        <v>588</v>
      </c>
      <c r="V224" s="186" t="s">
        <v>588</v>
      </c>
    </row>
    <row r="225" spans="1:25" x14ac:dyDescent="0.3">
      <c r="A225" s="28" t="s">
        <v>354</v>
      </c>
      <c r="B225" s="361"/>
      <c r="C225" s="105" t="s">
        <v>488</v>
      </c>
      <c r="D225" s="4"/>
      <c r="E225" s="133" t="s">
        <v>2039</v>
      </c>
      <c r="F225" s="269"/>
      <c r="G225" s="240" t="s">
        <v>2039</v>
      </c>
      <c r="H225" s="33"/>
      <c r="I225" s="42"/>
      <c r="J225" s="240"/>
      <c r="K225" s="396"/>
      <c r="L225" s="396">
        <f t="shared" si="16"/>
        <v>0</v>
      </c>
      <c r="M225" s="43">
        <f t="shared" si="19"/>
        <v>6976.6899999999896</v>
      </c>
    </row>
    <row r="226" spans="1:25" x14ac:dyDescent="0.3">
      <c r="C226" s="105" t="s">
        <v>488</v>
      </c>
      <c r="D226" s="4" t="s">
        <v>58</v>
      </c>
      <c r="E226" s="132" t="s">
        <v>9</v>
      </c>
      <c r="F226" s="1" t="s">
        <v>748</v>
      </c>
      <c r="G226" s="240" t="s">
        <v>2039</v>
      </c>
      <c r="K226" s="396">
        <v>-129.93</v>
      </c>
      <c r="L226" s="396">
        <f t="shared" si="16"/>
        <v>-129.93</v>
      </c>
      <c r="M226" s="43">
        <f t="shared" si="19"/>
        <v>6846.7599999999893</v>
      </c>
      <c r="N226" s="18" t="s">
        <v>327</v>
      </c>
    </row>
    <row r="227" spans="1:25" x14ac:dyDescent="0.3">
      <c r="C227" s="105" t="s">
        <v>488</v>
      </c>
      <c r="D227" s="4" t="s">
        <v>58</v>
      </c>
      <c r="E227" s="133" t="s">
        <v>8</v>
      </c>
      <c r="F227" s="1" t="s">
        <v>748</v>
      </c>
      <c r="G227" s="240" t="s">
        <v>2039</v>
      </c>
      <c r="H227" s="33"/>
      <c r="I227" s="42"/>
      <c r="J227" s="171"/>
      <c r="K227" s="396">
        <v>-36.130000000000003</v>
      </c>
      <c r="L227" s="396">
        <f t="shared" si="16"/>
        <v>-36.130000000000003</v>
      </c>
      <c r="M227" s="43">
        <f t="shared" si="19"/>
        <v>6810.6299999999892</v>
      </c>
      <c r="N227" s="18" t="s">
        <v>2236</v>
      </c>
    </row>
    <row r="228" spans="1:25" x14ac:dyDescent="0.3">
      <c r="A228" s="12"/>
      <c r="C228" s="105" t="s">
        <v>488</v>
      </c>
      <c r="D228" s="4" t="s">
        <v>299</v>
      </c>
      <c r="E228" s="133" t="s">
        <v>301</v>
      </c>
      <c r="F228" s="213" t="s">
        <v>1801</v>
      </c>
      <c r="G228" s="240" t="s">
        <v>2039</v>
      </c>
      <c r="H228" s="214"/>
      <c r="I228" s="215"/>
      <c r="J228" s="215"/>
      <c r="K228" s="396">
        <v>-45.54</v>
      </c>
      <c r="L228" s="396">
        <f t="shared" si="16"/>
        <v>-45.54</v>
      </c>
      <c r="M228" s="43">
        <f t="shared" si="19"/>
        <v>6765.0899999999892</v>
      </c>
      <c r="N228" s="18" t="s">
        <v>327</v>
      </c>
      <c r="P228" s="30"/>
      <c r="Q228"/>
      <c r="R228"/>
      <c r="S228"/>
      <c r="T228"/>
      <c r="U228" t="s">
        <v>90</v>
      </c>
      <c r="V228"/>
    </row>
    <row r="229" spans="1:25" x14ac:dyDescent="0.3">
      <c r="A229" s="26"/>
      <c r="C229" s="105" t="s">
        <v>488</v>
      </c>
      <c r="D229" s="4" t="s">
        <v>607</v>
      </c>
      <c r="E229" s="133" t="s">
        <v>11</v>
      </c>
      <c r="F229" s="213" t="s">
        <v>1802</v>
      </c>
      <c r="G229" s="240" t="s">
        <v>2039</v>
      </c>
      <c r="H229" s="214"/>
      <c r="I229" s="215"/>
      <c r="J229" s="215"/>
      <c r="K229" s="396">
        <v>-29.54</v>
      </c>
      <c r="L229" s="396">
        <f t="shared" si="16"/>
        <v>-29.54</v>
      </c>
      <c r="M229" s="43">
        <f t="shared" si="17"/>
        <v>6735.5499999999893</v>
      </c>
      <c r="N229" s="16" t="s">
        <v>49</v>
      </c>
      <c r="O229" s="25"/>
      <c r="P229"/>
      <c r="R229" s="15"/>
      <c r="V229"/>
      <c r="Y229"/>
    </row>
    <row r="230" spans="1:25" x14ac:dyDescent="0.3">
      <c r="C230" s="105" t="s">
        <v>488</v>
      </c>
      <c r="D230" s="354" t="s">
        <v>1109</v>
      </c>
      <c r="E230" s="133" t="s">
        <v>12</v>
      </c>
      <c r="F230" s="213" t="s">
        <v>1802</v>
      </c>
      <c r="G230" s="240" t="s">
        <v>2039</v>
      </c>
      <c r="H230" s="214"/>
      <c r="I230" s="215"/>
      <c r="J230" s="215"/>
      <c r="K230" s="396">
        <v>-43.2</v>
      </c>
      <c r="L230" s="396">
        <f t="shared" si="16"/>
        <v>-43.2</v>
      </c>
      <c r="M230" s="43">
        <f t="shared" si="17"/>
        <v>6692.3499999999894</v>
      </c>
      <c r="N230" s="18" t="s">
        <v>2236</v>
      </c>
      <c r="P230"/>
      <c r="R230" s="15"/>
      <c r="V230"/>
      <c r="Y230"/>
    </row>
    <row r="231" spans="1:25" x14ac:dyDescent="0.3">
      <c r="A231" s="12"/>
      <c r="C231" s="105" t="s">
        <v>488</v>
      </c>
      <c r="D231" s="4" t="s">
        <v>48</v>
      </c>
      <c r="E231" s="133" t="s">
        <v>12</v>
      </c>
      <c r="F231" s="213" t="s">
        <v>1802</v>
      </c>
      <c r="G231" s="240" t="s">
        <v>2039</v>
      </c>
      <c r="H231" s="214"/>
      <c r="I231" s="215"/>
      <c r="J231" s="215"/>
      <c r="K231" s="396">
        <v>-72.42</v>
      </c>
      <c r="L231" s="396">
        <f t="shared" si="16"/>
        <v>-72.42</v>
      </c>
      <c r="M231" s="43">
        <f t="shared" si="17"/>
        <v>6619.9299999999894</v>
      </c>
      <c r="N231" s="18" t="s">
        <v>2236</v>
      </c>
      <c r="P231"/>
      <c r="R231" s="15"/>
      <c r="V231"/>
    </row>
    <row r="232" spans="1:25" x14ac:dyDescent="0.3">
      <c r="C232" s="105" t="s">
        <v>488</v>
      </c>
      <c r="D232" s="4" t="s">
        <v>1544</v>
      </c>
      <c r="E232" s="133" t="s">
        <v>12</v>
      </c>
      <c r="F232" s="1" t="s">
        <v>486</v>
      </c>
      <c r="G232" s="240" t="s">
        <v>2039</v>
      </c>
      <c r="K232" s="396">
        <v>-502.49</v>
      </c>
      <c r="L232" s="396">
        <f t="shared" si="16"/>
        <v>-502.49</v>
      </c>
      <c r="M232" s="43">
        <f t="shared" si="17"/>
        <v>6117.4399999999896</v>
      </c>
      <c r="N232" s="18" t="s">
        <v>2236</v>
      </c>
    </row>
    <row r="233" spans="1:25" x14ac:dyDescent="0.3">
      <c r="A233" s="28"/>
      <c r="B233" s="361"/>
      <c r="C233" s="105" t="s">
        <v>488</v>
      </c>
      <c r="D233" s="354" t="s">
        <v>670</v>
      </c>
      <c r="E233" s="132" t="s">
        <v>513</v>
      </c>
      <c r="F233" s="269" t="s">
        <v>1983</v>
      </c>
      <c r="G233" s="240" t="s">
        <v>2039</v>
      </c>
      <c r="H233" s="264"/>
      <c r="I233" s="327">
        <v>60</v>
      </c>
      <c r="J233" s="240"/>
      <c r="K233" s="396"/>
      <c r="L233" s="396">
        <f t="shared" si="16"/>
        <v>60</v>
      </c>
      <c r="M233" s="43">
        <f t="shared" si="17"/>
        <v>6177.4399999999896</v>
      </c>
      <c r="N233" s="18" t="s">
        <v>90</v>
      </c>
    </row>
    <row r="234" spans="1:25" x14ac:dyDescent="0.3">
      <c r="A234" s="12"/>
      <c r="C234" s="105" t="s">
        <v>488</v>
      </c>
      <c r="D234" s="4" t="s">
        <v>1845</v>
      </c>
      <c r="E234" s="116" t="s">
        <v>621</v>
      </c>
      <c r="F234" s="120" t="s">
        <v>1954</v>
      </c>
      <c r="G234" s="240" t="s">
        <v>2039</v>
      </c>
      <c r="H234" s="33"/>
      <c r="I234" s="42"/>
      <c r="J234" s="42"/>
      <c r="K234" s="396">
        <v>-10</v>
      </c>
      <c r="L234" s="396">
        <f t="shared" si="16"/>
        <v>-10</v>
      </c>
      <c r="M234" s="43">
        <f t="shared" si="17"/>
        <v>6167.4399999999896</v>
      </c>
      <c r="N234" s="16" t="s">
        <v>2236</v>
      </c>
    </row>
    <row r="235" spans="1:25" x14ac:dyDescent="0.3">
      <c r="A235" s="26"/>
      <c r="C235" s="105" t="s">
        <v>488</v>
      </c>
      <c r="D235" s="4" t="s">
        <v>1955</v>
      </c>
      <c r="E235" s="133" t="s">
        <v>518</v>
      </c>
      <c r="F235" s="269" t="s">
        <v>1959</v>
      </c>
      <c r="G235" s="240" t="s">
        <v>2039</v>
      </c>
      <c r="H235" s="264"/>
      <c r="I235" s="240"/>
      <c r="J235" s="240"/>
      <c r="K235" s="396">
        <v>-59.55</v>
      </c>
      <c r="L235" s="396">
        <f t="shared" si="16"/>
        <v>-59.55</v>
      </c>
      <c r="M235" s="43">
        <f t="shared" si="17"/>
        <v>6107.8899999999894</v>
      </c>
      <c r="N235" s="16" t="s">
        <v>2236</v>
      </c>
    </row>
    <row r="236" spans="1:25" x14ac:dyDescent="0.3">
      <c r="C236" s="105" t="s">
        <v>488</v>
      </c>
      <c r="D236" s="4" t="s">
        <v>1956</v>
      </c>
      <c r="E236" s="132" t="s">
        <v>513</v>
      </c>
      <c r="F236" s="269" t="s">
        <v>1957</v>
      </c>
      <c r="G236" s="240" t="s">
        <v>2039</v>
      </c>
      <c r="H236" s="264"/>
      <c r="I236" s="327">
        <v>294</v>
      </c>
      <c r="J236" s="240"/>
      <c r="K236" s="396"/>
      <c r="L236" s="396">
        <f t="shared" si="16"/>
        <v>294</v>
      </c>
      <c r="M236" s="43">
        <f t="shared" si="17"/>
        <v>6401.8899999999894</v>
      </c>
      <c r="N236" s="16" t="s">
        <v>90</v>
      </c>
      <c r="O236" s="18"/>
    </row>
    <row r="237" spans="1:25" x14ac:dyDescent="0.3">
      <c r="A237" s="12"/>
      <c r="C237" s="105" t="s">
        <v>488</v>
      </c>
      <c r="D237" s="4" t="s">
        <v>1672</v>
      </c>
      <c r="E237" s="133" t="s">
        <v>11</v>
      </c>
      <c r="F237" s="168" t="s">
        <v>1958</v>
      </c>
      <c r="G237" s="240" t="s">
        <v>2039</v>
      </c>
      <c r="H237" s="33"/>
      <c r="I237" s="240"/>
      <c r="J237" s="240"/>
      <c r="K237" s="396">
        <v>-150.56</v>
      </c>
      <c r="L237" s="396">
        <f t="shared" si="16"/>
        <v>-150.56</v>
      </c>
      <c r="M237" s="43">
        <f t="shared" si="17"/>
        <v>6251.329999999989</v>
      </c>
      <c r="N237" s="16" t="s">
        <v>2236</v>
      </c>
    </row>
    <row r="238" spans="1:25" x14ac:dyDescent="0.3">
      <c r="A238" s="12"/>
      <c r="C238" s="105" t="s">
        <v>488</v>
      </c>
      <c r="D238" s="4" t="s">
        <v>663</v>
      </c>
      <c r="E238" s="112" t="s">
        <v>504</v>
      </c>
      <c r="F238" s="121" t="s">
        <v>1030</v>
      </c>
      <c r="G238" s="240" t="s">
        <v>2039</v>
      </c>
      <c r="H238" s="33"/>
      <c r="I238" s="42"/>
      <c r="J238" s="42"/>
      <c r="K238" s="396">
        <v>-50</v>
      </c>
      <c r="L238" s="396">
        <f t="shared" si="16"/>
        <v>-50</v>
      </c>
      <c r="M238" s="43">
        <f t="shared" si="17"/>
        <v>6201.329999999989</v>
      </c>
      <c r="N238" s="18" t="s">
        <v>90</v>
      </c>
      <c r="X238"/>
    </row>
    <row r="239" spans="1:25" x14ac:dyDescent="0.3">
      <c r="A239" s="29"/>
      <c r="B239" s="362"/>
      <c r="C239" s="105" t="s">
        <v>488</v>
      </c>
      <c r="D239" s="4" t="s">
        <v>1781</v>
      </c>
      <c r="E239" s="112" t="s">
        <v>504</v>
      </c>
      <c r="F239" s="359" t="s">
        <v>1963</v>
      </c>
      <c r="G239" s="240" t="s">
        <v>2039</v>
      </c>
      <c r="H239" s="191"/>
      <c r="I239" s="42"/>
      <c r="J239" s="42"/>
      <c r="K239" s="396">
        <v>-120</v>
      </c>
      <c r="L239" s="396">
        <f t="shared" si="16"/>
        <v>-120</v>
      </c>
      <c r="M239" s="43">
        <f t="shared" si="17"/>
        <v>6081.329999999989</v>
      </c>
      <c r="N239" s="18" t="s">
        <v>572</v>
      </c>
      <c r="P239" s="30" t="s">
        <v>1953</v>
      </c>
      <c r="Q239" s="30"/>
      <c r="R239" s="30"/>
      <c r="S239"/>
      <c r="T239"/>
      <c r="U239"/>
      <c r="V239"/>
      <c r="X239"/>
    </row>
    <row r="240" spans="1:25" x14ac:dyDescent="0.3">
      <c r="A240" s="29"/>
      <c r="B240" s="362"/>
      <c r="C240" s="105" t="s">
        <v>488</v>
      </c>
      <c r="D240" s="4" t="s">
        <v>1781</v>
      </c>
      <c r="E240" s="133" t="s">
        <v>512</v>
      </c>
      <c r="F240" t="s">
        <v>1960</v>
      </c>
      <c r="G240" s="240" t="s">
        <v>2039</v>
      </c>
      <c r="H240" s="264"/>
      <c r="I240" s="240">
        <v>120</v>
      </c>
      <c r="J240" s="240"/>
      <c r="K240" s="396"/>
      <c r="L240" s="396">
        <f t="shared" si="16"/>
        <v>120</v>
      </c>
      <c r="M240" s="43">
        <f t="shared" si="17"/>
        <v>6201.329999999989</v>
      </c>
      <c r="N240" s="18" t="s">
        <v>572</v>
      </c>
      <c r="P240"/>
      <c r="Q240"/>
      <c r="R240"/>
      <c r="S240"/>
      <c r="T240"/>
      <c r="U240"/>
      <c r="V240"/>
      <c r="X240"/>
    </row>
    <row r="241" spans="1:24" x14ac:dyDescent="0.3">
      <c r="C241" s="105" t="s">
        <v>488</v>
      </c>
      <c r="D241" s="4" t="s">
        <v>1962</v>
      </c>
      <c r="E241" s="132" t="s">
        <v>512</v>
      </c>
      <c r="F241" s="168" t="s">
        <v>1961</v>
      </c>
      <c r="G241" s="240" t="s">
        <v>2039</v>
      </c>
      <c r="H241" s="33"/>
      <c r="I241" s="42">
        <v>80</v>
      </c>
      <c r="J241" s="240"/>
      <c r="K241" s="396"/>
      <c r="L241" s="396">
        <f t="shared" si="16"/>
        <v>80</v>
      </c>
      <c r="M241" s="43">
        <f t="shared" si="17"/>
        <v>6281.329999999989</v>
      </c>
      <c r="N241" s="18" t="s">
        <v>412</v>
      </c>
      <c r="P241" t="s">
        <v>584</v>
      </c>
      <c r="Q241"/>
      <c r="R241"/>
      <c r="S241"/>
      <c r="T241">
        <f>5272.33</f>
        <v>5272.33</v>
      </c>
      <c r="U241"/>
      <c r="V241"/>
      <c r="W241"/>
    </row>
    <row r="242" spans="1:24" x14ac:dyDescent="0.3">
      <c r="A242" s="12"/>
      <c r="C242" s="105" t="s">
        <v>488</v>
      </c>
      <c r="D242" s="4" t="s">
        <v>1962</v>
      </c>
      <c r="E242" s="112" t="s">
        <v>500</v>
      </c>
      <c r="F242" s="121" t="s">
        <v>2036</v>
      </c>
      <c r="G242" s="240" t="s">
        <v>2039</v>
      </c>
      <c r="H242" s="33"/>
      <c r="I242" s="49">
        <v>50</v>
      </c>
      <c r="J242" s="240"/>
      <c r="K242" s="396"/>
      <c r="L242" s="396">
        <f t="shared" si="16"/>
        <v>50</v>
      </c>
      <c r="M242" s="43">
        <f t="shared" si="17"/>
        <v>6331.329999999989</v>
      </c>
      <c r="N242" s="18" t="s">
        <v>412</v>
      </c>
      <c r="P242" t="s">
        <v>586</v>
      </c>
      <c r="R242" s="15"/>
      <c r="S242" s="43"/>
      <c r="T242"/>
      <c r="U242"/>
      <c r="V242"/>
      <c r="W242" s="57"/>
    </row>
    <row r="243" spans="1:24" x14ac:dyDescent="0.3">
      <c r="A243" s="12"/>
      <c r="C243" s="105" t="s">
        <v>488</v>
      </c>
      <c r="D243" s="4" t="s">
        <v>1964</v>
      </c>
      <c r="E243" s="132" t="s">
        <v>512</v>
      </c>
      <c r="F243" s="168" t="s">
        <v>1965</v>
      </c>
      <c r="G243" s="240" t="s">
        <v>2039</v>
      </c>
      <c r="H243" s="33"/>
      <c r="I243" s="42">
        <v>80</v>
      </c>
      <c r="J243" s="240"/>
      <c r="K243" s="396"/>
      <c r="L243" s="396">
        <f>I243+K243</f>
        <v>80</v>
      </c>
      <c r="M243" s="43">
        <f t="shared" si="17"/>
        <v>6411.329999999989</v>
      </c>
      <c r="N243" s="18" t="s">
        <v>412</v>
      </c>
      <c r="P243"/>
      <c r="Q243"/>
      <c r="R243"/>
      <c r="S243" s="4"/>
      <c r="T243"/>
      <c r="U243"/>
      <c r="X243"/>
    </row>
    <row r="244" spans="1:24" x14ac:dyDescent="0.3">
      <c r="A244" s="12"/>
      <c r="C244" s="105" t="s">
        <v>488</v>
      </c>
      <c r="D244" s="4" t="s">
        <v>1964</v>
      </c>
      <c r="E244" s="112" t="s">
        <v>500</v>
      </c>
      <c r="F244" s="121" t="s">
        <v>1430</v>
      </c>
      <c r="G244" s="240" t="s">
        <v>2039</v>
      </c>
      <c r="H244" s="341"/>
      <c r="I244" s="49">
        <v>50</v>
      </c>
      <c r="J244" s="240"/>
      <c r="K244" s="396"/>
      <c r="L244" s="396">
        <f>I244+K244</f>
        <v>50</v>
      </c>
      <c r="M244" s="43">
        <f t="shared" si="17"/>
        <v>6461.329999999989</v>
      </c>
      <c r="N244" s="18" t="s">
        <v>412</v>
      </c>
      <c r="P244"/>
      <c r="Q244"/>
      <c r="R244"/>
      <c r="S244" s="4"/>
      <c r="T244" s="125"/>
      <c r="U244"/>
    </row>
    <row r="245" spans="1:24" x14ac:dyDescent="0.3">
      <c r="A245" s="12"/>
      <c r="C245" s="105" t="s">
        <v>488</v>
      </c>
      <c r="D245" s="4" t="s">
        <v>1879</v>
      </c>
      <c r="E245" s="112" t="s">
        <v>504</v>
      </c>
      <c r="F245" s="121" t="s">
        <v>1117</v>
      </c>
      <c r="G245" s="240" t="s">
        <v>2039</v>
      </c>
      <c r="H245" s="273"/>
      <c r="I245" s="240"/>
      <c r="J245" s="240"/>
      <c r="K245" s="396">
        <v>-50</v>
      </c>
      <c r="L245" s="396">
        <f t="shared" si="16"/>
        <v>-50</v>
      </c>
      <c r="M245" s="43">
        <f t="shared" si="17"/>
        <v>6411.329999999989</v>
      </c>
      <c r="N245" s="18" t="s">
        <v>90</v>
      </c>
      <c r="P245" t="s">
        <v>1365</v>
      </c>
      <c r="Q245"/>
      <c r="R245"/>
      <c r="S245" s="4">
        <v>100</v>
      </c>
      <c r="T245" s="125"/>
      <c r="U245" t="s">
        <v>90</v>
      </c>
    </row>
    <row r="246" spans="1:24" x14ac:dyDescent="0.3">
      <c r="C246" s="105" t="s">
        <v>488</v>
      </c>
      <c r="D246" s="4" t="s">
        <v>1638</v>
      </c>
      <c r="E246" s="112" t="s">
        <v>504</v>
      </c>
      <c r="F246" s="121" t="s">
        <v>1967</v>
      </c>
      <c r="G246" s="240" t="s">
        <v>2039</v>
      </c>
      <c r="H246" s="120"/>
      <c r="I246" s="42"/>
      <c r="J246" s="171"/>
      <c r="K246" s="396">
        <v>-50</v>
      </c>
      <c r="L246" s="396">
        <f t="shared" si="16"/>
        <v>-50</v>
      </c>
      <c r="M246" s="43">
        <f t="shared" si="17"/>
        <v>6361.329999999989</v>
      </c>
      <c r="N246" s="18" t="s">
        <v>90</v>
      </c>
      <c r="P246"/>
      <c r="Q246"/>
      <c r="R246"/>
      <c r="S246" s="4"/>
      <c r="T246" s="125">
        <f>SUM(S243:S245)</f>
        <v>100</v>
      </c>
      <c r="U246"/>
    </row>
    <row r="247" spans="1:24" x14ac:dyDescent="0.3">
      <c r="A247" s="12"/>
      <c r="C247" s="105" t="s">
        <v>488</v>
      </c>
      <c r="D247" s="4" t="s">
        <v>1949</v>
      </c>
      <c r="E247" s="112" t="s">
        <v>504</v>
      </c>
      <c r="F247" s="191" t="s">
        <v>1064</v>
      </c>
      <c r="G247" s="240" t="s">
        <v>2039</v>
      </c>
      <c r="H247" s="264"/>
      <c r="I247" s="240"/>
      <c r="J247" s="240"/>
      <c r="K247" s="396">
        <v>-50</v>
      </c>
      <c r="L247" s="396">
        <f t="shared" si="16"/>
        <v>-50</v>
      </c>
      <c r="M247" s="43">
        <f t="shared" si="17"/>
        <v>6311.329999999989</v>
      </c>
      <c r="N247" s="18" t="s">
        <v>90</v>
      </c>
      <c r="U247"/>
    </row>
    <row r="248" spans="1:24" x14ac:dyDescent="0.3">
      <c r="A248" s="12"/>
      <c r="C248" s="105" t="s">
        <v>488</v>
      </c>
      <c r="D248" s="4" t="s">
        <v>1365</v>
      </c>
      <c r="E248" s="132" t="s">
        <v>512</v>
      </c>
      <c r="F248" s="120" t="s">
        <v>1969</v>
      </c>
      <c r="G248" s="240" t="s">
        <v>2039</v>
      </c>
      <c r="H248" s="210"/>
      <c r="I248" s="240">
        <v>100</v>
      </c>
      <c r="J248" s="240"/>
      <c r="K248" s="396"/>
      <c r="L248" s="396">
        <f t="shared" si="16"/>
        <v>100</v>
      </c>
      <c r="M248" s="43">
        <f t="shared" si="17"/>
        <v>6411.329999999989</v>
      </c>
      <c r="U248"/>
      <c r="V248"/>
    </row>
    <row r="249" spans="1:24" x14ac:dyDescent="0.3">
      <c r="A249" s="12"/>
      <c r="C249" s="105" t="s">
        <v>488</v>
      </c>
      <c r="D249" s="4" t="s">
        <v>1912</v>
      </c>
      <c r="E249" s="132" t="s">
        <v>512</v>
      </c>
      <c r="F249" s="269" t="s">
        <v>1976</v>
      </c>
      <c r="G249" s="240" t="s">
        <v>2039</v>
      </c>
      <c r="H249" s="264"/>
      <c r="I249" s="240">
        <v>80</v>
      </c>
      <c r="J249" s="240"/>
      <c r="K249" s="396"/>
      <c r="L249" s="396">
        <f t="shared" si="16"/>
        <v>80</v>
      </c>
      <c r="M249" s="43">
        <f t="shared" si="17"/>
        <v>6491.329999999989</v>
      </c>
      <c r="N249" s="18" t="s">
        <v>90</v>
      </c>
      <c r="P249"/>
      <c r="Q249"/>
      <c r="R249" s="15"/>
      <c r="S249" s="43"/>
      <c r="T249" s="4"/>
      <c r="U249"/>
      <c r="V249"/>
    </row>
    <row r="250" spans="1:24" x14ac:dyDescent="0.3">
      <c r="A250" s="12"/>
      <c r="C250" s="105" t="s">
        <v>488</v>
      </c>
      <c r="D250" s="4" t="s">
        <v>1977</v>
      </c>
      <c r="E250" s="132" t="s">
        <v>512</v>
      </c>
      <c r="F250" s="120" t="s">
        <v>1978</v>
      </c>
      <c r="G250" s="240" t="s">
        <v>2039</v>
      </c>
      <c r="H250" s="264"/>
      <c r="I250" s="240">
        <v>20</v>
      </c>
      <c r="J250" s="240"/>
      <c r="K250" s="396"/>
      <c r="L250" s="396">
        <f t="shared" si="16"/>
        <v>20</v>
      </c>
      <c r="M250" s="43">
        <f t="shared" si="17"/>
        <v>6511.329999999989</v>
      </c>
      <c r="N250" s="18" t="s">
        <v>90</v>
      </c>
      <c r="P250"/>
      <c r="Q250"/>
      <c r="R250"/>
      <c r="S250"/>
      <c r="T250"/>
      <c r="U250"/>
      <c r="V250"/>
    </row>
    <row r="251" spans="1:24" x14ac:dyDescent="0.3">
      <c r="A251" s="12"/>
      <c r="C251" s="131" t="s">
        <v>488</v>
      </c>
      <c r="D251" s="4" t="s">
        <v>1950</v>
      </c>
      <c r="E251" s="133" t="s">
        <v>518</v>
      </c>
      <c r="F251" s="269" t="s">
        <v>1396</v>
      </c>
      <c r="G251" s="240" t="s">
        <v>2039</v>
      </c>
      <c r="H251" s="264"/>
      <c r="I251" s="240"/>
      <c r="J251" s="240"/>
      <c r="K251" s="396">
        <v>-1536</v>
      </c>
      <c r="L251" s="396">
        <f t="shared" si="16"/>
        <v>-1536</v>
      </c>
      <c r="M251" s="43">
        <f t="shared" si="17"/>
        <v>4975.329999999989</v>
      </c>
      <c r="N251" s="18" t="s">
        <v>2236</v>
      </c>
      <c r="P251" t="s">
        <v>652</v>
      </c>
      <c r="Q251"/>
      <c r="R251"/>
      <c r="S251"/>
      <c r="T251" s="23">
        <f>SUM(T240:T250)</f>
        <v>5372.33</v>
      </c>
      <c r="U251"/>
      <c r="V251" s="186" t="s">
        <v>588</v>
      </c>
    </row>
    <row r="252" spans="1:24" x14ac:dyDescent="0.3">
      <c r="C252" s="131" t="s">
        <v>488</v>
      </c>
      <c r="D252" s="4" t="s">
        <v>1998</v>
      </c>
      <c r="E252" s="132" t="s">
        <v>512</v>
      </c>
      <c r="F252" s="269" t="s">
        <v>1982</v>
      </c>
      <c r="G252" s="240" t="s">
        <v>2039</v>
      </c>
      <c r="H252" s="264"/>
      <c r="I252" s="240">
        <v>580</v>
      </c>
      <c r="J252" s="240"/>
      <c r="K252" s="396"/>
      <c r="L252" s="396">
        <f t="shared" si="16"/>
        <v>580</v>
      </c>
      <c r="M252" s="43">
        <f t="shared" si="17"/>
        <v>5555.329999999989</v>
      </c>
      <c r="N252" s="18" t="s">
        <v>90</v>
      </c>
    </row>
    <row r="253" spans="1:24" x14ac:dyDescent="0.3">
      <c r="A253" s="12"/>
      <c r="C253" s="131" t="s">
        <v>488</v>
      </c>
      <c r="D253" s="4" t="s">
        <v>1979</v>
      </c>
      <c r="E253" s="112" t="s">
        <v>504</v>
      </c>
      <c r="F253" s="191" t="s">
        <v>1981</v>
      </c>
      <c r="G253" s="240" t="s">
        <v>2039</v>
      </c>
      <c r="H253" s="33"/>
      <c r="I253" s="42"/>
      <c r="J253" s="42"/>
      <c r="K253" s="396">
        <v>-183</v>
      </c>
      <c r="L253" s="396">
        <f t="shared" si="16"/>
        <v>-183</v>
      </c>
      <c r="M253" s="75">
        <f t="shared" si="17"/>
        <v>5372.329999999989</v>
      </c>
      <c r="N253" s="18" t="s">
        <v>90</v>
      </c>
    </row>
    <row r="254" spans="1:24" x14ac:dyDescent="0.3">
      <c r="C254" s="131" t="s">
        <v>488</v>
      </c>
      <c r="D254" s="4"/>
      <c r="E254" s="133" t="s">
        <v>2039</v>
      </c>
      <c r="F254" s="120"/>
      <c r="G254" s="240" t="s">
        <v>2039</v>
      </c>
      <c r="H254" s="33"/>
      <c r="I254" s="42"/>
      <c r="J254" s="171"/>
      <c r="K254" s="396"/>
      <c r="L254" s="396">
        <f t="shared" si="16"/>
        <v>0</v>
      </c>
      <c r="M254" s="43">
        <f t="shared" si="17"/>
        <v>5372.329999999989</v>
      </c>
    </row>
    <row r="255" spans="1:24" x14ac:dyDescent="0.3">
      <c r="A255" s="5" t="s">
        <v>344</v>
      </c>
      <c r="B255" s="360">
        <v>44795</v>
      </c>
      <c r="C255" s="106" t="s">
        <v>489</v>
      </c>
      <c r="D255" s="4" t="s">
        <v>58</v>
      </c>
      <c r="E255" s="132" t="s">
        <v>9</v>
      </c>
      <c r="F255" s="1" t="s">
        <v>354</v>
      </c>
      <c r="G255" s="240" t="s">
        <v>2039</v>
      </c>
      <c r="K255" s="396">
        <v>-115.42</v>
      </c>
      <c r="L255" s="396">
        <f t="shared" si="16"/>
        <v>-115.42</v>
      </c>
      <c r="M255" s="43">
        <f t="shared" si="17"/>
        <v>5256.9099999999889</v>
      </c>
      <c r="N255" s="18" t="s">
        <v>327</v>
      </c>
    </row>
    <row r="256" spans="1:24" x14ac:dyDescent="0.3">
      <c r="A256" s="12"/>
      <c r="B256" s="360">
        <v>44791</v>
      </c>
      <c r="C256" s="106" t="s">
        <v>489</v>
      </c>
      <c r="D256" s="4" t="s">
        <v>58</v>
      </c>
      <c r="E256" s="133" t="s">
        <v>8</v>
      </c>
      <c r="F256" s="1" t="s">
        <v>354</v>
      </c>
      <c r="G256" s="240" t="s">
        <v>2039</v>
      </c>
      <c r="H256" s="33"/>
      <c r="I256" s="42"/>
      <c r="J256" s="171"/>
      <c r="K256" s="396">
        <v>-26.86</v>
      </c>
      <c r="L256" s="396">
        <f t="shared" si="16"/>
        <v>-26.86</v>
      </c>
      <c r="M256" s="43">
        <f t="shared" si="17"/>
        <v>5230.0499999999893</v>
      </c>
      <c r="N256" s="18" t="s">
        <v>2239</v>
      </c>
    </row>
    <row r="257" spans="1:25" x14ac:dyDescent="0.3">
      <c r="A257" s="12"/>
      <c r="B257" s="360">
        <v>44798</v>
      </c>
      <c r="C257" s="106" t="s">
        <v>489</v>
      </c>
      <c r="D257" s="4" t="s">
        <v>299</v>
      </c>
      <c r="E257" s="133" t="s">
        <v>301</v>
      </c>
      <c r="F257" s="213" t="s">
        <v>1801</v>
      </c>
      <c r="G257" s="240" t="s">
        <v>2039</v>
      </c>
      <c r="H257" s="214"/>
      <c r="I257" s="215"/>
      <c r="J257" s="215"/>
      <c r="K257" s="396">
        <v>-45.54</v>
      </c>
      <c r="L257" s="396">
        <f t="shared" si="16"/>
        <v>-45.54</v>
      </c>
      <c r="M257" s="43">
        <f t="shared" si="17"/>
        <v>5184.5099999999893</v>
      </c>
      <c r="N257" s="18" t="s">
        <v>327</v>
      </c>
      <c r="Y257"/>
    </row>
    <row r="258" spans="1:25" x14ac:dyDescent="0.3">
      <c r="B258" s="360">
        <v>44803</v>
      </c>
      <c r="C258" s="106" t="s">
        <v>489</v>
      </c>
      <c r="D258" s="4" t="s">
        <v>607</v>
      </c>
      <c r="E258" s="133" t="s">
        <v>11</v>
      </c>
      <c r="F258" s="213" t="s">
        <v>1802</v>
      </c>
      <c r="G258" s="240" t="s">
        <v>2039</v>
      </c>
      <c r="H258" s="214"/>
      <c r="I258" s="215"/>
      <c r="J258" s="215"/>
      <c r="K258" s="396">
        <v>-29.54</v>
      </c>
      <c r="L258" s="396">
        <f t="shared" si="16"/>
        <v>-29.54</v>
      </c>
      <c r="M258" s="43">
        <f t="shared" si="17"/>
        <v>5154.9699999999893</v>
      </c>
      <c r="N258" s="18" t="s">
        <v>49</v>
      </c>
      <c r="Q258" s="30" t="s">
        <v>1993</v>
      </c>
      <c r="R258" s="30"/>
      <c r="S258" s="30"/>
      <c r="T258"/>
      <c r="U258"/>
      <c r="V258"/>
    </row>
    <row r="259" spans="1:25" x14ac:dyDescent="0.3">
      <c r="B259" s="360">
        <v>44795</v>
      </c>
      <c r="C259" s="106" t="s">
        <v>489</v>
      </c>
      <c r="D259" s="354" t="s">
        <v>1109</v>
      </c>
      <c r="E259" s="133" t="s">
        <v>12</v>
      </c>
      <c r="F259" s="213" t="s">
        <v>1802</v>
      </c>
      <c r="G259" s="240" t="s">
        <v>2039</v>
      </c>
      <c r="H259" s="214"/>
      <c r="I259" s="215"/>
      <c r="J259" s="215"/>
      <c r="K259" s="396">
        <v>-43.2</v>
      </c>
      <c r="L259" s="396">
        <f t="shared" si="16"/>
        <v>-43.2</v>
      </c>
      <c r="M259" s="43">
        <f t="shared" si="17"/>
        <v>5111.7699999999895</v>
      </c>
      <c r="N259" s="16" t="s">
        <v>2236</v>
      </c>
      <c r="Q259"/>
      <c r="R259"/>
      <c r="S259"/>
      <c r="T259"/>
      <c r="U259"/>
      <c r="V259"/>
    </row>
    <row r="260" spans="1:25" x14ac:dyDescent="0.3">
      <c r="B260" s="360">
        <v>44779</v>
      </c>
      <c r="C260" s="106" t="s">
        <v>489</v>
      </c>
      <c r="D260" s="4" t="s">
        <v>48</v>
      </c>
      <c r="E260" s="133" t="s">
        <v>12</v>
      </c>
      <c r="F260" s="213" t="s">
        <v>1802</v>
      </c>
      <c r="G260" s="240" t="s">
        <v>2039</v>
      </c>
      <c r="H260" s="214"/>
      <c r="I260" s="215"/>
      <c r="J260" s="215"/>
      <c r="K260" s="396">
        <v>-72.42</v>
      </c>
      <c r="L260" s="396">
        <f t="shared" si="16"/>
        <v>-72.42</v>
      </c>
      <c r="M260" s="43">
        <f t="shared" si="17"/>
        <v>5039.3499999999894</v>
      </c>
      <c r="N260" s="18" t="s">
        <v>2236</v>
      </c>
      <c r="Q260" t="s">
        <v>584</v>
      </c>
      <c r="R260"/>
      <c r="S260"/>
      <c r="T260">
        <f>4695.15-114</f>
        <v>4581.1499999999996</v>
      </c>
      <c r="U260"/>
      <c r="V260"/>
    </row>
    <row r="261" spans="1:25" x14ac:dyDescent="0.3">
      <c r="A261" s="40"/>
      <c r="B261" s="360">
        <v>44807</v>
      </c>
      <c r="C261" s="106" t="s">
        <v>489</v>
      </c>
      <c r="D261" s="4" t="s">
        <v>1544</v>
      </c>
      <c r="E261" s="133" t="s">
        <v>12</v>
      </c>
      <c r="F261" s="1" t="s">
        <v>489</v>
      </c>
      <c r="G261" s="240" t="s">
        <v>2039</v>
      </c>
      <c r="K261" s="396">
        <v>-270</v>
      </c>
      <c r="L261" s="396">
        <f t="shared" si="16"/>
        <v>-270</v>
      </c>
      <c r="M261" s="43">
        <f t="shared" si="17"/>
        <v>4769.3499999999894</v>
      </c>
      <c r="N261" s="18" t="s">
        <v>2236</v>
      </c>
      <c r="O261" s="15" t="s">
        <v>2002</v>
      </c>
      <c r="Q261" t="s">
        <v>586</v>
      </c>
      <c r="R261"/>
      <c r="S261"/>
      <c r="T261"/>
      <c r="U261"/>
      <c r="V261"/>
    </row>
    <row r="262" spans="1:25" x14ac:dyDescent="0.3">
      <c r="A262" s="12"/>
      <c r="C262" s="106" t="s">
        <v>489</v>
      </c>
      <c r="D262" s="354" t="s">
        <v>670</v>
      </c>
      <c r="E262" s="132" t="s">
        <v>513</v>
      </c>
      <c r="F262" s="269" t="s">
        <v>1984</v>
      </c>
      <c r="G262" s="240" t="s">
        <v>2039</v>
      </c>
      <c r="H262" s="264"/>
      <c r="I262" s="327"/>
      <c r="J262" s="240"/>
      <c r="K262" s="396"/>
      <c r="L262" s="396">
        <f t="shared" si="16"/>
        <v>0</v>
      </c>
      <c r="M262" s="43">
        <f t="shared" si="17"/>
        <v>4769.3499999999894</v>
      </c>
      <c r="O262" s="15" t="s">
        <v>2001</v>
      </c>
      <c r="Q262" t="s">
        <v>1365</v>
      </c>
      <c r="R262"/>
      <c r="S262"/>
      <c r="T262" s="4">
        <v>100</v>
      </c>
    </row>
    <row r="263" spans="1:25" x14ac:dyDescent="0.3">
      <c r="C263" s="106" t="s">
        <v>489</v>
      </c>
      <c r="D263" s="4" t="s">
        <v>1845</v>
      </c>
      <c r="E263" s="116" t="s">
        <v>621</v>
      </c>
      <c r="F263" s="120" t="s">
        <v>1743</v>
      </c>
      <c r="G263" s="240" t="s">
        <v>2039</v>
      </c>
      <c r="H263" s="33"/>
      <c r="I263" s="42"/>
      <c r="J263" s="42"/>
      <c r="K263" s="396">
        <v>-28</v>
      </c>
      <c r="L263" s="396">
        <f t="shared" si="16"/>
        <v>-28</v>
      </c>
      <c r="M263" s="43">
        <f t="shared" si="17"/>
        <v>4741.3499999999894</v>
      </c>
      <c r="N263" s="18" t="s">
        <v>90</v>
      </c>
      <c r="Q263"/>
      <c r="R263"/>
      <c r="S263"/>
      <c r="T263" s="125"/>
    </row>
    <row r="264" spans="1:25" x14ac:dyDescent="0.3">
      <c r="A264" s="26"/>
      <c r="C264" s="106" t="s">
        <v>489</v>
      </c>
      <c r="D264" s="4" t="s">
        <v>1912</v>
      </c>
      <c r="E264" s="112" t="s">
        <v>504</v>
      </c>
      <c r="F264" s="191" t="s">
        <v>1081</v>
      </c>
      <c r="G264" s="240" t="s">
        <v>2039</v>
      </c>
      <c r="H264" s="264"/>
      <c r="I264" s="240"/>
      <c r="J264" s="240"/>
      <c r="K264" s="396">
        <v>-50</v>
      </c>
      <c r="L264" s="396">
        <f t="shared" si="16"/>
        <v>-50</v>
      </c>
      <c r="M264" s="43">
        <f t="shared" si="17"/>
        <v>4691.3499999999894</v>
      </c>
      <c r="N264" s="18" t="s">
        <v>90</v>
      </c>
      <c r="Q264"/>
      <c r="R264"/>
      <c r="S264"/>
      <c r="T264" s="125"/>
    </row>
    <row r="265" spans="1:25" x14ac:dyDescent="0.3">
      <c r="A265" s="26"/>
      <c r="B265" s="360">
        <v>44799</v>
      </c>
      <c r="C265" s="106" t="s">
        <v>489</v>
      </c>
      <c r="D265" s="4" t="s">
        <v>1902</v>
      </c>
      <c r="E265" s="133" t="s">
        <v>518</v>
      </c>
      <c r="F265" s="269" t="s">
        <v>1986</v>
      </c>
      <c r="G265" s="240" t="s">
        <v>2039</v>
      </c>
      <c r="H265" s="264"/>
      <c r="I265" s="240"/>
      <c r="J265" s="240"/>
      <c r="K265" s="396">
        <v>-185</v>
      </c>
      <c r="L265" s="396">
        <f t="shared" si="16"/>
        <v>-185</v>
      </c>
      <c r="M265" s="43">
        <f t="shared" si="17"/>
        <v>4506.3499999999894</v>
      </c>
      <c r="N265" s="18" t="s">
        <v>2236</v>
      </c>
      <c r="O265" t="s">
        <v>1992</v>
      </c>
      <c r="Q265" t="s">
        <v>1544</v>
      </c>
      <c r="R265"/>
      <c r="S265"/>
      <c r="T265" s="125">
        <v>-270</v>
      </c>
      <c r="U265"/>
      <c r="V265" s="4"/>
    </row>
    <row r="266" spans="1:25" x14ac:dyDescent="0.3">
      <c r="B266" s="360">
        <v>44799</v>
      </c>
      <c r="C266" s="106" t="s">
        <v>489</v>
      </c>
      <c r="D266" s="4" t="s">
        <v>1985</v>
      </c>
      <c r="E266" s="133" t="s">
        <v>518</v>
      </c>
      <c r="F266" s="168" t="s">
        <v>1987</v>
      </c>
      <c r="G266" s="240" t="s">
        <v>2039</v>
      </c>
      <c r="H266" s="33"/>
      <c r="I266" s="42"/>
      <c r="J266" s="42"/>
      <c r="K266" s="396">
        <v>-120</v>
      </c>
      <c r="L266" s="396">
        <f t="shared" si="16"/>
        <v>-120</v>
      </c>
      <c r="M266" s="43">
        <f t="shared" si="17"/>
        <v>4386.3499999999894</v>
      </c>
      <c r="N266" s="18" t="s">
        <v>2236</v>
      </c>
      <c r="O266" t="s">
        <v>1992</v>
      </c>
      <c r="Q266" s="4"/>
      <c r="R266" s="15"/>
      <c r="S266" s="11"/>
      <c r="T266" s="125"/>
      <c r="U266"/>
      <c r="V266" s="11"/>
    </row>
    <row r="267" spans="1:25" x14ac:dyDescent="0.3">
      <c r="B267" s="360">
        <v>44790</v>
      </c>
      <c r="C267" s="106" t="s">
        <v>489</v>
      </c>
      <c r="D267" s="4" t="s">
        <v>1988</v>
      </c>
      <c r="E267" s="112" t="s">
        <v>500</v>
      </c>
      <c r="F267" s="121" t="s">
        <v>1643</v>
      </c>
      <c r="G267" s="240" t="s">
        <v>2039</v>
      </c>
      <c r="H267" s="33"/>
      <c r="I267" s="49">
        <v>50</v>
      </c>
      <c r="J267" s="42"/>
      <c r="K267" s="396"/>
      <c r="L267" s="396">
        <f t="shared" si="16"/>
        <v>50</v>
      </c>
      <c r="M267" s="43">
        <f t="shared" si="17"/>
        <v>4436.3499999999894</v>
      </c>
      <c r="N267" s="18" t="s">
        <v>90</v>
      </c>
      <c r="O267"/>
      <c r="Q267"/>
      <c r="R267"/>
      <c r="S267"/>
      <c r="T267" s="125"/>
    </row>
    <row r="268" spans="1:25" x14ac:dyDescent="0.3">
      <c r="B268" s="360">
        <v>44789</v>
      </c>
      <c r="C268" s="106" t="s">
        <v>489</v>
      </c>
      <c r="D268" s="4" t="s">
        <v>1989</v>
      </c>
      <c r="E268" s="132" t="s">
        <v>512</v>
      </c>
      <c r="F268" s="120"/>
      <c r="G268" s="240" t="s">
        <v>2039</v>
      </c>
      <c r="H268" s="33"/>
      <c r="I268" s="42">
        <v>40</v>
      </c>
      <c r="J268" s="42"/>
      <c r="K268" s="396"/>
      <c r="L268" s="396">
        <f t="shared" ref="L268:L313" si="20">I268+K268</f>
        <v>40</v>
      </c>
      <c r="M268" s="43">
        <f t="shared" ref="M268:M313" si="21">M267+L268</f>
        <v>4476.3499999999894</v>
      </c>
      <c r="N268" s="16" t="s">
        <v>90</v>
      </c>
      <c r="Q268"/>
      <c r="T268" s="125"/>
    </row>
    <row r="269" spans="1:25" x14ac:dyDescent="0.3">
      <c r="A269" s="29"/>
      <c r="B269" s="362">
        <v>44785</v>
      </c>
      <c r="C269" s="106" t="s">
        <v>489</v>
      </c>
      <c r="D269" s="4" t="s">
        <v>1990</v>
      </c>
      <c r="E269" s="132" t="s">
        <v>512</v>
      </c>
      <c r="F269" s="120"/>
      <c r="G269" s="240" t="s">
        <v>2039</v>
      </c>
      <c r="H269" s="210"/>
      <c r="I269" s="42">
        <v>5</v>
      </c>
      <c r="J269" s="42"/>
      <c r="K269" s="396"/>
      <c r="L269" s="396">
        <f t="shared" si="20"/>
        <v>5</v>
      </c>
      <c r="M269" s="43">
        <f t="shared" si="21"/>
        <v>4481.3499999999894</v>
      </c>
      <c r="N269" s="16" t="s">
        <v>90</v>
      </c>
      <c r="Q269"/>
      <c r="T269" s="125"/>
      <c r="U269"/>
    </row>
    <row r="270" spans="1:25" x14ac:dyDescent="0.3">
      <c r="B270" s="360">
        <v>44782</v>
      </c>
      <c r="C270" s="106" t="s">
        <v>489</v>
      </c>
      <c r="D270" s="1" t="s">
        <v>234</v>
      </c>
      <c r="E270" s="133" t="s">
        <v>12</v>
      </c>
      <c r="F270" s="120" t="s">
        <v>1362</v>
      </c>
      <c r="G270" s="240" t="s">
        <v>2039</v>
      </c>
      <c r="H270" s="33"/>
      <c r="I270" s="42"/>
      <c r="J270" s="42"/>
      <c r="K270" s="396">
        <v>-54</v>
      </c>
      <c r="L270" s="396">
        <f t="shared" si="20"/>
        <v>-54</v>
      </c>
      <c r="M270" s="43">
        <f t="shared" si="21"/>
        <v>4427.3499999999894</v>
      </c>
      <c r="N270" s="16" t="s">
        <v>2236</v>
      </c>
    </row>
    <row r="271" spans="1:25" x14ac:dyDescent="0.3">
      <c r="A271" s="29"/>
      <c r="B271" s="362">
        <v>44782</v>
      </c>
      <c r="C271" s="106" t="s">
        <v>489</v>
      </c>
      <c r="D271" s="1" t="s">
        <v>234</v>
      </c>
      <c r="E271" s="133" t="s">
        <v>12</v>
      </c>
      <c r="F271" s="120" t="s">
        <v>1991</v>
      </c>
      <c r="G271" s="240" t="s">
        <v>2039</v>
      </c>
      <c r="H271" s="33"/>
      <c r="I271" s="42"/>
      <c r="J271" s="42"/>
      <c r="K271" s="396">
        <v>-16.2</v>
      </c>
      <c r="L271" s="396">
        <f t="shared" si="20"/>
        <v>-16.2</v>
      </c>
      <c r="M271" s="43">
        <f t="shared" si="21"/>
        <v>4411.1499999999896</v>
      </c>
      <c r="N271" s="16" t="s">
        <v>2236</v>
      </c>
    </row>
    <row r="272" spans="1:25" x14ac:dyDescent="0.3">
      <c r="B272" s="360">
        <v>44799</v>
      </c>
      <c r="C272" s="106" t="s">
        <v>489</v>
      </c>
      <c r="D272" s="4" t="s">
        <v>1994</v>
      </c>
      <c r="E272" s="112" t="s">
        <v>504</v>
      </c>
      <c r="F272" s="191" t="s">
        <v>1995</v>
      </c>
      <c r="G272" s="240" t="s">
        <v>2039</v>
      </c>
      <c r="H272" s="210"/>
      <c r="I272" s="42"/>
      <c r="J272" s="42"/>
      <c r="K272" s="396">
        <v>-200</v>
      </c>
      <c r="L272" s="396">
        <f t="shared" si="20"/>
        <v>-200</v>
      </c>
      <c r="M272" s="43">
        <f t="shared" si="21"/>
        <v>4211.1499999999896</v>
      </c>
      <c r="N272" s="16" t="s">
        <v>412</v>
      </c>
      <c r="U272" s="11">
        <f>SUM(T262:T272)</f>
        <v>-170</v>
      </c>
    </row>
    <row r="273" spans="1:24" x14ac:dyDescent="0.3">
      <c r="B273" s="360">
        <v>44799</v>
      </c>
      <c r="C273" s="106" t="s">
        <v>489</v>
      </c>
      <c r="D273" s="4" t="s">
        <v>1994</v>
      </c>
      <c r="E273" s="132" t="s">
        <v>512</v>
      </c>
      <c r="F273" s="120" t="s">
        <v>1996</v>
      </c>
      <c r="G273" s="240" t="s">
        <v>2039</v>
      </c>
      <c r="H273" s="33"/>
      <c r="I273" s="42">
        <v>140</v>
      </c>
      <c r="J273" s="42"/>
      <c r="K273" s="396"/>
      <c r="L273" s="396">
        <f t="shared" si="20"/>
        <v>140</v>
      </c>
      <c r="M273" s="43">
        <f t="shared" si="21"/>
        <v>4351.1499999999896</v>
      </c>
      <c r="N273" s="16" t="s">
        <v>412</v>
      </c>
    </row>
    <row r="274" spans="1:24" x14ac:dyDescent="0.3">
      <c r="B274" s="360">
        <v>44803</v>
      </c>
      <c r="C274" s="106" t="s">
        <v>489</v>
      </c>
      <c r="D274" s="4" t="s">
        <v>1998</v>
      </c>
      <c r="E274" s="112" t="s">
        <v>504</v>
      </c>
      <c r="F274" s="191" t="s">
        <v>1042</v>
      </c>
      <c r="G274" s="240" t="s">
        <v>2039</v>
      </c>
      <c r="H274" s="33"/>
      <c r="I274" s="42"/>
      <c r="J274" s="171"/>
      <c r="K274" s="396">
        <v>-200</v>
      </c>
      <c r="L274" s="396">
        <f t="shared" si="20"/>
        <v>-200</v>
      </c>
      <c r="M274" s="43">
        <f t="shared" si="21"/>
        <v>4151.1499999999896</v>
      </c>
      <c r="N274" s="18" t="s">
        <v>412</v>
      </c>
      <c r="Q274" t="s">
        <v>652</v>
      </c>
      <c r="R274"/>
      <c r="S274"/>
      <c r="T274" s="23">
        <f>SUM(T260:T266)</f>
        <v>4411.1499999999996</v>
      </c>
      <c r="U274" s="23"/>
      <c r="V274" s="74"/>
      <c r="W274" s="23" t="s">
        <v>588</v>
      </c>
    </row>
    <row r="275" spans="1:24" x14ac:dyDescent="0.3">
      <c r="A275" s="12"/>
      <c r="B275" s="360">
        <v>44803</v>
      </c>
      <c r="C275" s="106" t="s">
        <v>489</v>
      </c>
      <c r="D275" s="4" t="s">
        <v>1998</v>
      </c>
      <c r="E275" s="132" t="s">
        <v>512</v>
      </c>
      <c r="F275" s="120" t="s">
        <v>1999</v>
      </c>
      <c r="G275" s="240" t="s">
        <v>2039</v>
      </c>
      <c r="H275" s="33"/>
      <c r="I275" s="42">
        <v>20</v>
      </c>
      <c r="J275" s="42"/>
      <c r="K275" s="396"/>
      <c r="L275" s="396">
        <f t="shared" si="20"/>
        <v>20</v>
      </c>
      <c r="M275" s="43">
        <f t="shared" si="21"/>
        <v>4171.1499999999896</v>
      </c>
      <c r="N275" s="16" t="s">
        <v>412</v>
      </c>
      <c r="O275"/>
      <c r="T275" s="57">
        <f>T274-M279</f>
        <v>1.0004441719502211E-11</v>
      </c>
    </row>
    <row r="276" spans="1:24" x14ac:dyDescent="0.3">
      <c r="B276" s="360">
        <v>44803</v>
      </c>
      <c r="C276" s="106" t="s">
        <v>489</v>
      </c>
      <c r="D276" s="11" t="s">
        <v>165</v>
      </c>
      <c r="E276" s="132" t="s">
        <v>513</v>
      </c>
      <c r="F276" s="269"/>
      <c r="G276" s="240" t="s">
        <v>2039</v>
      </c>
      <c r="H276" s="264"/>
      <c r="I276" s="42">
        <v>60</v>
      </c>
      <c r="J276" s="240"/>
      <c r="K276" s="396"/>
      <c r="L276" s="396">
        <f t="shared" si="20"/>
        <v>60</v>
      </c>
      <c r="M276" s="43">
        <f t="shared" si="21"/>
        <v>4231.1499999999896</v>
      </c>
      <c r="N276" s="16" t="s">
        <v>90</v>
      </c>
      <c r="V276"/>
    </row>
    <row r="277" spans="1:24" x14ac:dyDescent="0.3">
      <c r="B277" s="360">
        <v>44803</v>
      </c>
      <c r="C277" s="106" t="s">
        <v>489</v>
      </c>
      <c r="D277" s="11" t="s">
        <v>2000</v>
      </c>
      <c r="E277" s="132" t="s">
        <v>500</v>
      </c>
      <c r="F277" s="269" t="s">
        <v>1096</v>
      </c>
      <c r="G277" s="240" t="s">
        <v>2039</v>
      </c>
      <c r="H277" s="264"/>
      <c r="I277" s="42">
        <v>150</v>
      </c>
      <c r="J277" s="240"/>
      <c r="K277" s="396"/>
      <c r="L277" s="396">
        <f t="shared" si="20"/>
        <v>150</v>
      </c>
      <c r="M277" s="43">
        <f t="shared" si="21"/>
        <v>4381.1499999999896</v>
      </c>
      <c r="N277" s="16" t="s">
        <v>90</v>
      </c>
      <c r="V277"/>
    </row>
    <row r="278" spans="1:24" x14ac:dyDescent="0.3">
      <c r="B278" s="360">
        <v>44803</v>
      </c>
      <c r="C278" s="106" t="s">
        <v>489</v>
      </c>
      <c r="D278" s="1" t="s">
        <v>2013</v>
      </c>
      <c r="E278" s="112" t="s">
        <v>512</v>
      </c>
      <c r="F278" s="269" t="s">
        <v>2014</v>
      </c>
      <c r="G278" s="240" t="s">
        <v>2039</v>
      </c>
      <c r="H278" s="264"/>
      <c r="I278" s="42">
        <v>30</v>
      </c>
      <c r="J278" s="240"/>
      <c r="K278" s="396"/>
      <c r="L278" s="396">
        <f t="shared" si="20"/>
        <v>30</v>
      </c>
      <c r="M278" s="43">
        <f t="shared" si="21"/>
        <v>4411.1499999999896</v>
      </c>
      <c r="N278" s="16" t="s">
        <v>90</v>
      </c>
      <c r="V278"/>
    </row>
    <row r="279" spans="1:24" x14ac:dyDescent="0.3">
      <c r="C279" s="106" t="s">
        <v>489</v>
      </c>
      <c r="D279" s="4"/>
      <c r="E279" s="132" t="s">
        <v>2039</v>
      </c>
      <c r="F279" s="269"/>
      <c r="G279" s="240" t="s">
        <v>2039</v>
      </c>
      <c r="H279" s="264"/>
      <c r="I279" s="42"/>
      <c r="J279" s="240"/>
      <c r="K279" s="396"/>
      <c r="L279" s="396"/>
      <c r="M279" s="75">
        <f t="shared" si="21"/>
        <v>4411.1499999999896</v>
      </c>
      <c r="N279" s="16"/>
      <c r="V279"/>
    </row>
    <row r="280" spans="1:24" x14ac:dyDescent="0.3">
      <c r="A280" s="28" t="s">
        <v>1453</v>
      </c>
      <c r="B280" s="360">
        <v>44830</v>
      </c>
      <c r="C280" s="109" t="s">
        <v>490</v>
      </c>
      <c r="D280" s="4" t="s">
        <v>299</v>
      </c>
      <c r="E280" s="133" t="s">
        <v>301</v>
      </c>
      <c r="F280" s="213" t="s">
        <v>1801</v>
      </c>
      <c r="G280" s="240" t="s">
        <v>2039</v>
      </c>
      <c r="H280" s="264"/>
      <c r="I280" s="396"/>
      <c r="J280" s="396"/>
      <c r="K280" s="396">
        <f>-45.54</f>
        <v>-45.54</v>
      </c>
      <c r="L280" s="396">
        <f t="shared" si="20"/>
        <v>-45.54</v>
      </c>
      <c r="M280" s="396">
        <f t="shared" si="21"/>
        <v>4365.6099999999897</v>
      </c>
      <c r="N280" s="16" t="s">
        <v>327</v>
      </c>
      <c r="V280"/>
      <c r="X280"/>
    </row>
    <row r="281" spans="1:24" x14ac:dyDescent="0.3">
      <c r="B281" s="360">
        <v>44831</v>
      </c>
      <c r="C281" s="109" t="s">
        <v>490</v>
      </c>
      <c r="D281" s="4" t="s">
        <v>607</v>
      </c>
      <c r="E281" s="133" t="s">
        <v>11</v>
      </c>
      <c r="F281" s="213" t="s">
        <v>1802</v>
      </c>
      <c r="G281" s="240" t="s">
        <v>2039</v>
      </c>
      <c r="H281" s="264"/>
      <c r="I281" s="396"/>
      <c r="J281" s="396"/>
      <c r="K281" s="396">
        <f>-29.54</f>
        <v>-29.54</v>
      </c>
      <c r="L281" s="396">
        <f t="shared" si="20"/>
        <v>-29.54</v>
      </c>
      <c r="M281" s="396">
        <f t="shared" si="21"/>
        <v>4336.0699999999897</v>
      </c>
      <c r="N281" s="16" t="s">
        <v>49</v>
      </c>
      <c r="Q281" s="30" t="s">
        <v>1539</v>
      </c>
      <c r="R281" s="30"/>
      <c r="S281" s="30"/>
      <c r="T281"/>
      <c r="U281"/>
      <c r="V281"/>
      <c r="X281"/>
    </row>
    <row r="282" spans="1:24" x14ac:dyDescent="0.3">
      <c r="A282" s="12"/>
      <c r="B282" s="360">
        <v>44824</v>
      </c>
      <c r="C282" s="109" t="s">
        <v>490</v>
      </c>
      <c r="D282" s="4" t="s">
        <v>2046</v>
      </c>
      <c r="E282" s="133" t="s">
        <v>12</v>
      </c>
      <c r="F282" s="213" t="s">
        <v>1802</v>
      </c>
      <c r="G282" s="240" t="s">
        <v>2039</v>
      </c>
      <c r="H282" s="264"/>
      <c r="I282" s="396"/>
      <c r="J282" s="396"/>
      <c r="K282" s="396">
        <f>-43.2</f>
        <v>-43.2</v>
      </c>
      <c r="L282" s="396">
        <f t="shared" si="20"/>
        <v>-43.2</v>
      </c>
      <c r="M282" s="396">
        <f t="shared" si="21"/>
        <v>4292.8699999999899</v>
      </c>
      <c r="N282" s="16" t="s">
        <v>2240</v>
      </c>
      <c r="Q282"/>
      <c r="R282"/>
      <c r="S282"/>
      <c r="T282"/>
      <c r="U282"/>
      <c r="V282"/>
      <c r="X282"/>
    </row>
    <row r="283" spans="1:24" x14ac:dyDescent="0.3">
      <c r="A283" s="12"/>
      <c r="B283" s="360">
        <v>44811</v>
      </c>
      <c r="C283" s="109" t="s">
        <v>490</v>
      </c>
      <c r="D283" s="4" t="s">
        <v>48</v>
      </c>
      <c r="E283" s="133" t="s">
        <v>12</v>
      </c>
      <c r="F283" s="213" t="s">
        <v>1802</v>
      </c>
      <c r="G283" s="240" t="s">
        <v>2039</v>
      </c>
      <c r="H283" s="264"/>
      <c r="I283" s="396"/>
      <c r="J283" s="396"/>
      <c r="K283" s="396">
        <f>-72.42</f>
        <v>-72.42</v>
      </c>
      <c r="L283" s="396">
        <f t="shared" si="20"/>
        <v>-72.42</v>
      </c>
      <c r="M283" s="396">
        <f t="shared" si="21"/>
        <v>4220.4499999999898</v>
      </c>
      <c r="N283" s="16" t="s">
        <v>2236</v>
      </c>
      <c r="Q283" t="s">
        <v>584</v>
      </c>
      <c r="R283"/>
      <c r="S283"/>
      <c r="T283"/>
      <c r="U283"/>
      <c r="V283">
        <v>8072.94</v>
      </c>
      <c r="X283"/>
    </row>
    <row r="284" spans="1:24" x14ac:dyDescent="0.3">
      <c r="A284" s="12"/>
      <c r="B284" s="360">
        <v>44805</v>
      </c>
      <c r="C284" s="109" t="s">
        <v>490</v>
      </c>
      <c r="D284" s="1" t="s">
        <v>1870</v>
      </c>
      <c r="E284" s="133" t="s">
        <v>513</v>
      </c>
      <c r="F284" s="168"/>
      <c r="G284" s="240" t="s">
        <v>2039</v>
      </c>
      <c r="H284" s="33"/>
      <c r="I284" s="396">
        <v>114</v>
      </c>
      <c r="J284" s="396"/>
      <c r="K284" s="396"/>
      <c r="L284" s="396">
        <f t="shared" si="20"/>
        <v>114</v>
      </c>
      <c r="M284" s="396">
        <f t="shared" si="21"/>
        <v>4334.4499999999898</v>
      </c>
      <c r="N284" s="16" t="s">
        <v>90</v>
      </c>
      <c r="Q284" t="s">
        <v>586</v>
      </c>
      <c r="R284"/>
      <c r="S284"/>
      <c r="T284"/>
      <c r="U284"/>
      <c r="V284"/>
      <c r="X284"/>
    </row>
    <row r="285" spans="1:24" x14ac:dyDescent="0.3">
      <c r="A285" s="28"/>
      <c r="B285" s="360">
        <v>44825</v>
      </c>
      <c r="C285" s="109" t="s">
        <v>490</v>
      </c>
      <c r="D285" s="4" t="s">
        <v>58</v>
      </c>
      <c r="E285" s="132" t="s">
        <v>9</v>
      </c>
      <c r="F285" s="1" t="s">
        <v>490</v>
      </c>
      <c r="G285" s="240" t="s">
        <v>2039</v>
      </c>
      <c r="H285" s="33"/>
      <c r="I285" s="396"/>
      <c r="J285" s="396"/>
      <c r="K285" s="396">
        <v>-115.3</v>
      </c>
      <c r="L285" s="396">
        <f>I285+K285</f>
        <v>-115.3</v>
      </c>
      <c r="M285" s="396">
        <f t="shared" ref="M285:M299" si="22">M284+L285</f>
        <v>4219.1499999999896</v>
      </c>
      <c r="N285" s="16" t="s">
        <v>327</v>
      </c>
      <c r="Q285"/>
      <c r="R285"/>
      <c r="S285"/>
      <c r="T285" s="4"/>
      <c r="U285"/>
      <c r="V285"/>
      <c r="X285"/>
    </row>
    <row r="286" spans="1:24" x14ac:dyDescent="0.3">
      <c r="A286" s="28"/>
      <c r="B286" s="360">
        <v>44824</v>
      </c>
      <c r="C286" s="109" t="s">
        <v>490</v>
      </c>
      <c r="D286" s="4" t="s">
        <v>58</v>
      </c>
      <c r="E286" s="132" t="s">
        <v>8</v>
      </c>
      <c r="F286" s="1" t="s">
        <v>489</v>
      </c>
      <c r="G286" s="240" t="s">
        <v>2039</v>
      </c>
      <c r="H286" s="33"/>
      <c r="I286" s="396"/>
      <c r="J286" s="396"/>
      <c r="K286" s="396">
        <v>-19.54</v>
      </c>
      <c r="L286" s="396">
        <f>I286+K286</f>
        <v>-19.54</v>
      </c>
      <c r="M286" s="396">
        <f t="shared" si="22"/>
        <v>4199.6099999999897</v>
      </c>
      <c r="N286" s="16" t="s">
        <v>327</v>
      </c>
      <c r="Q286"/>
      <c r="R286"/>
      <c r="S286"/>
      <c r="T286" s="4"/>
      <c r="U286"/>
      <c r="V286"/>
      <c r="X286"/>
    </row>
    <row r="287" spans="1:24" x14ac:dyDescent="0.3">
      <c r="A287" s="12"/>
      <c r="B287" s="360">
        <v>44814</v>
      </c>
      <c r="C287" s="109" t="s">
        <v>490</v>
      </c>
      <c r="D287" s="13" t="s">
        <v>1845</v>
      </c>
      <c r="E287" s="116" t="s">
        <v>621</v>
      </c>
      <c r="F287" s="365" t="s">
        <v>2008</v>
      </c>
      <c r="G287" s="240" t="s">
        <v>2039</v>
      </c>
      <c r="H287" s="33"/>
      <c r="I287" s="396"/>
      <c r="J287" s="396"/>
      <c r="K287" s="396">
        <v>-10</v>
      </c>
      <c r="L287" s="396">
        <f t="shared" si="20"/>
        <v>-10</v>
      </c>
      <c r="M287" s="396">
        <f t="shared" si="22"/>
        <v>4189.6099999999897</v>
      </c>
      <c r="N287" s="16" t="s">
        <v>2246</v>
      </c>
      <c r="Q287" t="s">
        <v>1365</v>
      </c>
      <c r="R287"/>
      <c r="S287"/>
      <c r="T287" s="4">
        <v>100</v>
      </c>
      <c r="U287"/>
      <c r="V287"/>
      <c r="X287"/>
    </row>
    <row r="288" spans="1:24" x14ac:dyDescent="0.3">
      <c r="A288" s="12"/>
      <c r="B288" s="360">
        <v>44813</v>
      </c>
      <c r="C288" s="109" t="s">
        <v>490</v>
      </c>
      <c r="D288" s="13" t="s">
        <v>2006</v>
      </c>
      <c r="E288" s="116" t="s">
        <v>513</v>
      </c>
      <c r="F288" s="365"/>
      <c r="G288" s="240" t="s">
        <v>2039</v>
      </c>
      <c r="H288" s="120"/>
      <c r="I288" s="396">
        <v>3920</v>
      </c>
      <c r="J288" s="396"/>
      <c r="K288" s="396"/>
      <c r="L288" s="396">
        <f t="shared" si="20"/>
        <v>3920</v>
      </c>
      <c r="M288" s="396">
        <f t="shared" si="22"/>
        <v>8109.6099999999897</v>
      </c>
      <c r="N288" s="16" t="s">
        <v>90</v>
      </c>
      <c r="Q288"/>
      <c r="R288"/>
      <c r="S288"/>
      <c r="T288" s="125"/>
      <c r="U288"/>
      <c r="V288"/>
      <c r="X288"/>
    </row>
    <row r="289" spans="1:24" x14ac:dyDescent="0.3">
      <c r="A289" s="12"/>
      <c r="B289" s="360">
        <v>44810</v>
      </c>
      <c r="C289" s="109" t="s">
        <v>490</v>
      </c>
      <c r="D289" s="1" t="s">
        <v>380</v>
      </c>
      <c r="E289" s="116" t="s">
        <v>621</v>
      </c>
      <c r="F289" s="168" t="s">
        <v>2007</v>
      </c>
      <c r="G289" s="240" t="s">
        <v>2039</v>
      </c>
      <c r="H289" s="33"/>
      <c r="I289" s="396"/>
      <c r="J289" s="396"/>
      <c r="K289" s="396">
        <v>-13.2</v>
      </c>
      <c r="L289" s="396">
        <f t="shared" si="20"/>
        <v>-13.2</v>
      </c>
      <c r="M289" s="396">
        <f t="shared" si="22"/>
        <v>8096.4099999999899</v>
      </c>
      <c r="N289" s="16" t="s">
        <v>2241</v>
      </c>
      <c r="Q289"/>
      <c r="R289"/>
      <c r="S289"/>
      <c r="T289" s="125"/>
      <c r="U289"/>
      <c r="V289"/>
      <c r="X289"/>
    </row>
    <row r="290" spans="1:24" x14ac:dyDescent="0.3">
      <c r="A290" s="12"/>
      <c r="B290" s="360">
        <v>44825</v>
      </c>
      <c r="C290" s="109" t="s">
        <v>490</v>
      </c>
      <c r="D290" s="1" t="s">
        <v>234</v>
      </c>
      <c r="E290" s="132" t="s">
        <v>621</v>
      </c>
      <c r="F290" s="168"/>
      <c r="G290" s="240" t="s">
        <v>2039</v>
      </c>
      <c r="H290" s="33"/>
      <c r="I290" s="396"/>
      <c r="J290" s="396"/>
      <c r="K290" s="396">
        <v>-50</v>
      </c>
      <c r="L290" s="396">
        <f t="shared" si="20"/>
        <v>-50</v>
      </c>
      <c r="M290" s="396">
        <f t="shared" si="22"/>
        <v>8046.4099999999899</v>
      </c>
      <c r="N290" s="16" t="s">
        <v>2242</v>
      </c>
      <c r="Q290" s="4" t="s">
        <v>2017</v>
      </c>
      <c r="R290" s="15"/>
      <c r="S290" s="11"/>
      <c r="T290" s="125">
        <v>-141</v>
      </c>
      <c r="U290"/>
      <c r="V290"/>
      <c r="X290"/>
    </row>
    <row r="291" spans="1:24" x14ac:dyDescent="0.3">
      <c r="A291" s="12"/>
      <c r="B291" s="360">
        <v>44825</v>
      </c>
      <c r="C291" s="109" t="s">
        <v>490</v>
      </c>
      <c r="D291" s="1" t="s">
        <v>234</v>
      </c>
      <c r="E291" s="133" t="s">
        <v>12</v>
      </c>
      <c r="F291" s="168" t="s">
        <v>2047</v>
      </c>
      <c r="G291" s="240" t="s">
        <v>2039</v>
      </c>
      <c r="H291" s="33"/>
      <c r="I291" s="396"/>
      <c r="J291" s="396"/>
      <c r="K291" s="396">
        <v>-20.59</v>
      </c>
      <c r="L291" s="396">
        <f t="shared" si="20"/>
        <v>-20.59</v>
      </c>
      <c r="M291" s="396">
        <f t="shared" si="22"/>
        <v>8025.8199999999897</v>
      </c>
      <c r="N291" s="16" t="s">
        <v>2243</v>
      </c>
      <c r="Q291" t="s">
        <v>1421</v>
      </c>
      <c r="R291"/>
      <c r="S291"/>
      <c r="T291" s="125">
        <v>-288</v>
      </c>
      <c r="U291"/>
      <c r="V291" s="18"/>
    </row>
    <row r="292" spans="1:24" x14ac:dyDescent="0.3">
      <c r="A292" s="12"/>
      <c r="B292" s="360">
        <v>44820</v>
      </c>
      <c r="C292" s="109" t="s">
        <v>490</v>
      </c>
      <c r="D292" s="1" t="s">
        <v>142</v>
      </c>
      <c r="E292" s="133" t="s">
        <v>513</v>
      </c>
      <c r="F292" s="168"/>
      <c r="G292" s="240" t="s">
        <v>2039</v>
      </c>
      <c r="H292" s="33"/>
      <c r="I292" s="396">
        <v>202.12</v>
      </c>
      <c r="J292" s="396"/>
      <c r="K292" s="396"/>
      <c r="L292" s="396">
        <f>I292+K292</f>
        <v>202.12</v>
      </c>
      <c r="M292" s="396">
        <f t="shared" si="22"/>
        <v>8227.9399999999896</v>
      </c>
      <c r="N292" s="16" t="s">
        <v>90</v>
      </c>
      <c r="Q292"/>
      <c r="R292"/>
      <c r="S292"/>
      <c r="T292" s="4"/>
      <c r="U292"/>
      <c r="V292" s="11">
        <f>SUM(T285:T291)</f>
        <v>-329</v>
      </c>
    </row>
    <row r="293" spans="1:24" x14ac:dyDescent="0.3">
      <c r="A293" s="12"/>
      <c r="B293" s="360">
        <v>44827</v>
      </c>
      <c r="C293" s="109" t="s">
        <v>490</v>
      </c>
      <c r="D293" s="1" t="s">
        <v>293</v>
      </c>
      <c r="E293" s="133" t="s">
        <v>512</v>
      </c>
      <c r="F293" s="168"/>
      <c r="G293" s="240" t="s">
        <v>2039</v>
      </c>
      <c r="H293" s="33"/>
      <c r="I293" s="396">
        <v>110</v>
      </c>
      <c r="J293" s="396"/>
      <c r="K293" s="396"/>
      <c r="L293" s="396">
        <f t="shared" si="20"/>
        <v>110</v>
      </c>
      <c r="M293" s="396">
        <f t="shared" si="22"/>
        <v>8337.9399999999896</v>
      </c>
      <c r="N293" s="16" t="s">
        <v>90</v>
      </c>
      <c r="Q293"/>
      <c r="R293"/>
      <c r="S293"/>
      <c r="T293" s="4"/>
      <c r="U293"/>
      <c r="V293" s="74">
        <f>V283+V292</f>
        <v>7743.94</v>
      </c>
      <c r="X293" t="s">
        <v>588</v>
      </c>
    </row>
    <row r="294" spans="1:24" x14ac:dyDescent="0.3">
      <c r="A294" s="12"/>
      <c r="B294" s="360">
        <v>44827</v>
      </c>
      <c r="C294" s="109" t="s">
        <v>490</v>
      </c>
      <c r="D294" s="1" t="s">
        <v>293</v>
      </c>
      <c r="E294" s="133" t="s">
        <v>499</v>
      </c>
      <c r="F294" s="168" t="s">
        <v>358</v>
      </c>
      <c r="G294" s="240" t="s">
        <v>2039</v>
      </c>
      <c r="H294" s="33"/>
      <c r="I294" s="396">
        <v>50</v>
      </c>
      <c r="J294" s="396"/>
      <c r="K294" s="396"/>
      <c r="L294" s="396">
        <f t="shared" si="20"/>
        <v>50</v>
      </c>
      <c r="M294" s="396">
        <f t="shared" si="22"/>
        <v>8387.9399999999896</v>
      </c>
      <c r="N294" s="16" t="s">
        <v>90</v>
      </c>
      <c r="Q294"/>
      <c r="R294"/>
      <c r="S294"/>
      <c r="T294" s="4"/>
      <c r="U294"/>
      <c r="V294" s="43">
        <f>V293-M301</f>
        <v>1.0004441719502211E-11</v>
      </c>
    </row>
    <row r="295" spans="1:24" x14ac:dyDescent="0.3">
      <c r="A295" s="12"/>
      <c r="B295" s="360">
        <v>44826</v>
      </c>
      <c r="C295" s="109" t="s">
        <v>490</v>
      </c>
      <c r="D295" s="1" t="s">
        <v>447</v>
      </c>
      <c r="E295" s="133" t="s">
        <v>513</v>
      </c>
      <c r="F295" s="168" t="s">
        <v>2011</v>
      </c>
      <c r="G295" s="240" t="s">
        <v>2039</v>
      </c>
      <c r="H295" s="33"/>
      <c r="I295" s="396">
        <v>60</v>
      </c>
      <c r="J295" s="396"/>
      <c r="K295" s="396"/>
      <c r="L295" s="396">
        <f t="shared" si="20"/>
        <v>60</v>
      </c>
      <c r="M295" s="396">
        <f t="shared" si="22"/>
        <v>8447.9399999999896</v>
      </c>
      <c r="N295" s="16" t="s">
        <v>90</v>
      </c>
      <c r="R295" s="15"/>
    </row>
    <row r="296" spans="1:24" x14ac:dyDescent="0.3">
      <c r="A296" s="12"/>
      <c r="B296" s="360">
        <v>44830</v>
      </c>
      <c r="C296" s="109" t="s">
        <v>490</v>
      </c>
      <c r="D296" s="1" t="s">
        <v>2013</v>
      </c>
      <c r="E296" s="112" t="s">
        <v>512</v>
      </c>
      <c r="F296" s="120" t="s">
        <v>2012</v>
      </c>
      <c r="G296" s="240" t="s">
        <v>2039</v>
      </c>
      <c r="H296" s="33"/>
      <c r="I296" s="396">
        <v>15</v>
      </c>
      <c r="J296" s="396"/>
      <c r="K296" s="396"/>
      <c r="L296" s="396">
        <f t="shared" si="20"/>
        <v>15</v>
      </c>
      <c r="M296" s="396">
        <f t="shared" si="22"/>
        <v>8462.9399999999896</v>
      </c>
      <c r="N296" s="16" t="s">
        <v>90</v>
      </c>
      <c r="R296" s="15"/>
    </row>
    <row r="297" spans="1:24" x14ac:dyDescent="0.3">
      <c r="A297" s="12"/>
      <c r="B297" s="360">
        <v>44834</v>
      </c>
      <c r="C297" s="109" t="s">
        <v>490</v>
      </c>
      <c r="D297" s="1" t="s">
        <v>1544</v>
      </c>
      <c r="E297" s="133" t="s">
        <v>12</v>
      </c>
      <c r="F297" s="168" t="s">
        <v>835</v>
      </c>
      <c r="G297" s="240" t="s">
        <v>2039</v>
      </c>
      <c r="H297" s="33"/>
      <c r="I297" s="396"/>
      <c r="J297" s="396"/>
      <c r="K297" s="396">
        <v>-390</v>
      </c>
      <c r="L297" s="396">
        <f t="shared" si="20"/>
        <v>-390</v>
      </c>
      <c r="M297" s="396">
        <f t="shared" si="22"/>
        <v>8072.9399999999896</v>
      </c>
      <c r="N297" s="16" t="s">
        <v>2245</v>
      </c>
      <c r="R297" s="15"/>
    </row>
    <row r="298" spans="1:24" x14ac:dyDescent="0.3">
      <c r="A298" s="12"/>
      <c r="B298" s="360">
        <v>44833</v>
      </c>
      <c r="C298" s="109" t="s">
        <v>490</v>
      </c>
      <c r="D298" s="1" t="s">
        <v>2016</v>
      </c>
      <c r="E298" s="112" t="s">
        <v>512</v>
      </c>
      <c r="F298" s="120" t="s">
        <v>2015</v>
      </c>
      <c r="G298" s="240" t="s">
        <v>2039</v>
      </c>
      <c r="H298" s="210"/>
      <c r="I298" s="396">
        <v>100</v>
      </c>
      <c r="J298" s="396"/>
      <c r="K298" s="396"/>
      <c r="L298" s="396">
        <f t="shared" si="20"/>
        <v>100</v>
      </c>
      <c r="M298" s="396">
        <f t="shared" si="22"/>
        <v>8172.9399999999896</v>
      </c>
      <c r="N298" s="16" t="s">
        <v>90</v>
      </c>
      <c r="R298" s="15"/>
    </row>
    <row r="299" spans="1:24" x14ac:dyDescent="0.3">
      <c r="A299" s="12"/>
      <c r="B299" s="360">
        <v>44834</v>
      </c>
      <c r="C299" s="109" t="s">
        <v>490</v>
      </c>
      <c r="D299" s="1" t="s">
        <v>2017</v>
      </c>
      <c r="E299" s="133" t="s">
        <v>518</v>
      </c>
      <c r="F299" s="168" t="s">
        <v>2018</v>
      </c>
      <c r="G299" s="240" t="s">
        <v>2039</v>
      </c>
      <c r="H299" s="33"/>
      <c r="I299" s="396"/>
      <c r="J299" s="396"/>
      <c r="K299" s="396">
        <v>-141</v>
      </c>
      <c r="L299" s="396">
        <f t="shared" si="20"/>
        <v>-141</v>
      </c>
      <c r="M299" s="396">
        <f t="shared" si="22"/>
        <v>8031.9399999999896</v>
      </c>
      <c r="N299" s="16" t="s">
        <v>2244</v>
      </c>
      <c r="R299" s="15"/>
    </row>
    <row r="300" spans="1:24" x14ac:dyDescent="0.3">
      <c r="A300" s="12"/>
      <c r="B300" s="360">
        <v>44836</v>
      </c>
      <c r="C300" s="109" t="s">
        <v>490</v>
      </c>
      <c r="D300" s="1" t="s">
        <v>1421</v>
      </c>
      <c r="E300" s="133" t="s">
        <v>518</v>
      </c>
      <c r="F300" s="168" t="s">
        <v>2025</v>
      </c>
      <c r="G300" s="240" t="s">
        <v>2039</v>
      </c>
      <c r="H300" s="33"/>
      <c r="I300" s="396"/>
      <c r="J300" s="396"/>
      <c r="K300" s="396">
        <v>-288</v>
      </c>
      <c r="L300" s="396">
        <f>I300+K300</f>
        <v>-288</v>
      </c>
      <c r="M300" s="396">
        <f t="shared" ref="M300:M306" si="23">M299+L300</f>
        <v>7743.9399999999896</v>
      </c>
      <c r="N300" s="16" t="s">
        <v>2285</v>
      </c>
      <c r="R300" s="15"/>
    </row>
    <row r="301" spans="1:24" ht="15.5" x14ac:dyDescent="0.35">
      <c r="A301" s="28"/>
      <c r="B301" s="361"/>
      <c r="C301" s="109" t="s">
        <v>490</v>
      </c>
      <c r="D301" s="4"/>
      <c r="E301" s="112" t="s">
        <v>2039</v>
      </c>
      <c r="F301" s="120"/>
      <c r="G301" s="240" t="s">
        <v>2039</v>
      </c>
      <c r="H301" s="210"/>
      <c r="I301" s="42"/>
      <c r="J301" s="42"/>
      <c r="K301" s="42"/>
      <c r="M301" s="331">
        <f t="shared" si="23"/>
        <v>7743.9399999999896</v>
      </c>
      <c r="N301" s="16"/>
      <c r="R301" s="15"/>
    </row>
    <row r="302" spans="1:24" x14ac:dyDescent="0.3">
      <c r="A302" s="28" t="s">
        <v>400</v>
      </c>
      <c r="B302" s="360">
        <v>44859</v>
      </c>
      <c r="C302" s="105" t="s">
        <v>400</v>
      </c>
      <c r="D302" s="4" t="s">
        <v>299</v>
      </c>
      <c r="E302" s="133" t="s">
        <v>301</v>
      </c>
      <c r="F302" s="213" t="s">
        <v>1801</v>
      </c>
      <c r="G302" s="240" t="s">
        <v>2039</v>
      </c>
      <c r="H302" s="33"/>
      <c r="I302" s="396"/>
      <c r="J302" s="396"/>
      <c r="K302" s="396">
        <v>-45.54</v>
      </c>
      <c r="L302" s="396">
        <f t="shared" si="20"/>
        <v>-45.54</v>
      </c>
      <c r="M302" s="396">
        <f t="shared" si="23"/>
        <v>7698.3999999999896</v>
      </c>
      <c r="N302" s="18" t="s">
        <v>327</v>
      </c>
      <c r="O302" s="11"/>
      <c r="P302"/>
      <c r="U302"/>
      <c r="V302" s="43"/>
    </row>
    <row r="303" spans="1:24" x14ac:dyDescent="0.3">
      <c r="A303" s="28"/>
      <c r="B303" s="360">
        <v>44861</v>
      </c>
      <c r="C303" s="105" t="s">
        <v>400</v>
      </c>
      <c r="D303" s="4" t="s">
        <v>607</v>
      </c>
      <c r="E303" s="133" t="s">
        <v>11</v>
      </c>
      <c r="F303" s="213" t="s">
        <v>1802</v>
      </c>
      <c r="G303" s="240" t="s">
        <v>2039</v>
      </c>
      <c r="H303" s="264"/>
      <c r="I303" s="396"/>
      <c r="J303" s="396"/>
      <c r="K303" s="396">
        <v>-29.54</v>
      </c>
      <c r="L303" s="396">
        <f t="shared" si="20"/>
        <v>-29.54</v>
      </c>
      <c r="M303" s="396">
        <f t="shared" si="23"/>
        <v>7668.8599999999897</v>
      </c>
      <c r="N303" s="18" t="s">
        <v>49</v>
      </c>
      <c r="O303" s="11"/>
      <c r="P303"/>
      <c r="Q303" s="30" t="s">
        <v>2058</v>
      </c>
      <c r="R303" s="30"/>
      <c r="S303" s="30"/>
      <c r="T303"/>
      <c r="U303"/>
      <c r="V303"/>
      <c r="X303"/>
    </row>
    <row r="304" spans="1:24" x14ac:dyDescent="0.3">
      <c r="A304" s="28"/>
      <c r="B304" s="360">
        <v>44854</v>
      </c>
      <c r="C304" s="105" t="s">
        <v>400</v>
      </c>
      <c r="D304" s="4" t="s">
        <v>2046</v>
      </c>
      <c r="E304" s="133" t="s">
        <v>12</v>
      </c>
      <c r="F304" s="213" t="s">
        <v>1802</v>
      </c>
      <c r="G304" s="240" t="s">
        <v>2039</v>
      </c>
      <c r="H304" s="264"/>
      <c r="I304" s="396"/>
      <c r="J304" s="396"/>
      <c r="K304" s="396">
        <v>-63</v>
      </c>
      <c r="L304" s="396">
        <f t="shared" si="20"/>
        <v>-63</v>
      </c>
      <c r="M304" s="396">
        <f t="shared" si="23"/>
        <v>7605.8599999999897</v>
      </c>
      <c r="N304" s="18" t="s">
        <v>49</v>
      </c>
      <c r="O304" s="11"/>
      <c r="P304"/>
      <c r="Q304"/>
      <c r="R304"/>
      <c r="S304"/>
      <c r="T304"/>
      <c r="U304"/>
      <c r="V304"/>
      <c r="X304"/>
    </row>
    <row r="305" spans="1:24" x14ac:dyDescent="0.3">
      <c r="A305" s="28"/>
      <c r="B305" s="360">
        <v>44844</v>
      </c>
      <c r="C305" s="105" t="s">
        <v>400</v>
      </c>
      <c r="D305" s="4" t="s">
        <v>48</v>
      </c>
      <c r="E305" s="133" t="s">
        <v>12</v>
      </c>
      <c r="F305" s="213" t="s">
        <v>1802</v>
      </c>
      <c r="G305" s="240" t="s">
        <v>2039</v>
      </c>
      <c r="H305" s="264"/>
      <c r="I305" s="396"/>
      <c r="J305" s="396"/>
      <c r="K305" s="396">
        <v>-72.42</v>
      </c>
      <c r="L305" s="396">
        <f t="shared" si="20"/>
        <v>-72.42</v>
      </c>
      <c r="M305" s="396">
        <f t="shared" si="23"/>
        <v>7533.4399999999896</v>
      </c>
      <c r="N305" s="18" t="s">
        <v>2237</v>
      </c>
      <c r="O305" s="11"/>
      <c r="P305"/>
      <c r="Q305" t="s">
        <v>584</v>
      </c>
      <c r="R305"/>
      <c r="S305"/>
      <c r="T305"/>
      <c r="U305"/>
      <c r="V305">
        <v>8498.7900000000009</v>
      </c>
      <c r="X305"/>
    </row>
    <row r="306" spans="1:24" x14ac:dyDescent="0.3">
      <c r="A306" s="28"/>
      <c r="B306" s="360">
        <v>44855</v>
      </c>
      <c r="C306" s="105" t="s">
        <v>400</v>
      </c>
      <c r="D306" s="4" t="s">
        <v>58</v>
      </c>
      <c r="E306" s="132" t="s">
        <v>9</v>
      </c>
      <c r="F306" s="1" t="s">
        <v>400</v>
      </c>
      <c r="G306" s="240" t="s">
        <v>2039</v>
      </c>
      <c r="H306" s="33"/>
      <c r="I306" s="396"/>
      <c r="J306" s="396"/>
      <c r="K306" s="396">
        <v>-127.4</v>
      </c>
      <c r="L306" s="396">
        <f t="shared" si="20"/>
        <v>-127.4</v>
      </c>
      <c r="M306" s="396">
        <f t="shared" si="23"/>
        <v>7406.03999999999</v>
      </c>
      <c r="N306" s="18" t="s">
        <v>327</v>
      </c>
      <c r="O306" s="11"/>
      <c r="P306"/>
      <c r="Q306" t="s">
        <v>586</v>
      </c>
      <c r="R306"/>
      <c r="S306"/>
      <c r="T306"/>
      <c r="U306"/>
      <c r="V306"/>
      <c r="X306"/>
    </row>
    <row r="307" spans="1:24" x14ac:dyDescent="0.3">
      <c r="A307" s="28"/>
      <c r="B307" s="360">
        <v>44853</v>
      </c>
      <c r="C307" s="105" t="s">
        <v>400</v>
      </c>
      <c r="D307" s="4" t="s">
        <v>58</v>
      </c>
      <c r="E307" s="132" t="s">
        <v>8</v>
      </c>
      <c r="F307" s="1" t="s">
        <v>490</v>
      </c>
      <c r="G307" s="240" t="s">
        <v>2039</v>
      </c>
      <c r="H307" s="264"/>
      <c r="I307" s="396"/>
      <c r="J307" s="396"/>
      <c r="K307" s="396">
        <v>-66.91</v>
      </c>
      <c r="L307" s="396">
        <f t="shared" si="20"/>
        <v>-66.91</v>
      </c>
      <c r="M307" s="396">
        <f t="shared" si="21"/>
        <v>7339.1299999999901</v>
      </c>
      <c r="N307" s="18" t="s">
        <v>327</v>
      </c>
      <c r="O307" s="11"/>
      <c r="P307"/>
      <c r="Q307"/>
      <c r="R307"/>
      <c r="S307"/>
      <c r="T307" s="4"/>
      <c r="U307"/>
      <c r="V307"/>
      <c r="X307"/>
    </row>
    <row r="308" spans="1:24" x14ac:dyDescent="0.3">
      <c r="A308" s="28"/>
      <c r="B308" s="360">
        <v>44836</v>
      </c>
      <c r="C308" s="105" t="s">
        <v>400</v>
      </c>
      <c r="D308" s="4" t="s">
        <v>2023</v>
      </c>
      <c r="E308" s="133" t="s">
        <v>37</v>
      </c>
      <c r="F308" s="329" t="s">
        <v>2024</v>
      </c>
      <c r="G308" s="240" t="s">
        <v>2039</v>
      </c>
      <c r="H308" s="264"/>
      <c r="I308" s="396">
        <v>60</v>
      </c>
      <c r="J308" s="396"/>
      <c r="K308" s="396"/>
      <c r="L308" s="396">
        <f t="shared" si="20"/>
        <v>60</v>
      </c>
      <c r="M308" s="396">
        <f t="shared" si="21"/>
        <v>7399.1299999999901</v>
      </c>
      <c r="N308" s="18" t="s">
        <v>90</v>
      </c>
      <c r="O308" s="11"/>
      <c r="P308"/>
      <c r="Q308"/>
      <c r="R308"/>
      <c r="S308"/>
      <c r="T308" s="4"/>
      <c r="U308"/>
      <c r="V308"/>
      <c r="X308"/>
    </row>
    <row r="309" spans="1:24" x14ac:dyDescent="0.3">
      <c r="A309" s="28"/>
      <c r="B309" s="360">
        <v>44836</v>
      </c>
      <c r="C309" s="105" t="s">
        <v>400</v>
      </c>
      <c r="D309" s="4" t="s">
        <v>2023</v>
      </c>
      <c r="E309" s="133" t="s">
        <v>499</v>
      </c>
      <c r="F309" s="168" t="s">
        <v>404</v>
      </c>
      <c r="G309" s="240" t="s">
        <v>2039</v>
      </c>
      <c r="H309" s="264"/>
      <c r="I309" s="396">
        <v>50</v>
      </c>
      <c r="J309" s="396"/>
      <c r="K309" s="396"/>
      <c r="L309" s="396">
        <f t="shared" si="20"/>
        <v>50</v>
      </c>
      <c r="M309" s="396">
        <f t="shared" si="21"/>
        <v>7449.1299999999901</v>
      </c>
      <c r="N309" s="18" t="s">
        <v>90</v>
      </c>
      <c r="O309" s="11"/>
      <c r="P309"/>
      <c r="Q309"/>
      <c r="R309"/>
      <c r="S309"/>
      <c r="T309" s="4"/>
      <c r="U309"/>
      <c r="V309"/>
      <c r="X309"/>
    </row>
    <row r="310" spans="1:24" x14ac:dyDescent="0.3">
      <c r="A310" s="28"/>
      <c r="B310" s="360">
        <v>44837</v>
      </c>
      <c r="C310" s="105" t="s">
        <v>400</v>
      </c>
      <c r="D310" s="4" t="s">
        <v>1623</v>
      </c>
      <c r="E310" s="112" t="s">
        <v>36</v>
      </c>
      <c r="F310" s="120" t="s">
        <v>1868</v>
      </c>
      <c r="G310" s="240" t="s">
        <v>2039</v>
      </c>
      <c r="H310" s="210"/>
      <c r="I310" s="396">
        <v>56</v>
      </c>
      <c r="J310" s="396"/>
      <c r="K310" s="396"/>
      <c r="L310" s="396">
        <f t="shared" si="20"/>
        <v>56</v>
      </c>
      <c r="M310" s="396">
        <f t="shared" si="21"/>
        <v>7505.1299999999901</v>
      </c>
      <c r="N310" s="18" t="s">
        <v>90</v>
      </c>
      <c r="O310" s="11"/>
      <c r="P310"/>
      <c r="Q310"/>
      <c r="R310"/>
      <c r="S310"/>
      <c r="T310" s="125"/>
      <c r="U310"/>
      <c r="V310"/>
      <c r="X310"/>
    </row>
    <row r="311" spans="1:24" x14ac:dyDescent="0.3">
      <c r="A311" s="28"/>
      <c r="B311" s="360">
        <v>44837</v>
      </c>
      <c r="C311" s="105" t="s">
        <v>400</v>
      </c>
      <c r="D311" s="4" t="s">
        <v>2027</v>
      </c>
      <c r="E311" s="133" t="s">
        <v>36</v>
      </c>
      <c r="F311" s="168" t="s">
        <v>2028</v>
      </c>
      <c r="G311" s="240" t="s">
        <v>2039</v>
      </c>
      <c r="H311" s="33"/>
      <c r="I311" s="396">
        <v>294</v>
      </c>
      <c r="J311" s="396"/>
      <c r="K311" s="396"/>
      <c r="L311" s="396">
        <f t="shared" si="20"/>
        <v>294</v>
      </c>
      <c r="M311" s="396">
        <f t="shared" si="21"/>
        <v>7799.1299999999901</v>
      </c>
      <c r="N311" s="18" t="s">
        <v>90</v>
      </c>
      <c r="O311" s="4"/>
      <c r="P311"/>
      <c r="Q311"/>
      <c r="R311"/>
      <c r="S311"/>
      <c r="T311" s="125"/>
      <c r="U311"/>
      <c r="V311"/>
      <c r="X311"/>
    </row>
    <row r="312" spans="1:24" x14ac:dyDescent="0.3">
      <c r="A312" s="28"/>
      <c r="B312" s="360">
        <v>44836</v>
      </c>
      <c r="C312" s="105" t="s">
        <v>400</v>
      </c>
      <c r="D312" s="4" t="s">
        <v>670</v>
      </c>
      <c r="E312" s="132" t="s">
        <v>513</v>
      </c>
      <c r="F312" s="269" t="s">
        <v>2029</v>
      </c>
      <c r="G312" s="240" t="s">
        <v>2039</v>
      </c>
      <c r="H312" s="210"/>
      <c r="I312" s="396">
        <v>60</v>
      </c>
      <c r="J312" s="396"/>
      <c r="K312" s="396"/>
      <c r="L312" s="396">
        <f t="shared" si="20"/>
        <v>60</v>
      </c>
      <c r="M312" s="396">
        <f t="shared" si="21"/>
        <v>7859.1299999999901</v>
      </c>
      <c r="N312" s="18" t="s">
        <v>90</v>
      </c>
      <c r="O312" s="11"/>
      <c r="P312"/>
      <c r="Q312" s="4"/>
      <c r="R312" s="15"/>
      <c r="S312" s="11"/>
      <c r="T312" s="125"/>
      <c r="U312"/>
      <c r="V312"/>
      <c r="X312"/>
    </row>
    <row r="313" spans="1:24" x14ac:dyDescent="0.3">
      <c r="A313" s="28"/>
      <c r="B313" s="360">
        <v>44838</v>
      </c>
      <c r="C313" s="105" t="s">
        <v>400</v>
      </c>
      <c r="D313" s="11" t="s">
        <v>1977</v>
      </c>
      <c r="E313" s="394" t="s">
        <v>37</v>
      </c>
      <c r="F313" s="33" t="s">
        <v>2030</v>
      </c>
      <c r="G313" s="240" t="s">
        <v>2039</v>
      </c>
      <c r="H313" s="210"/>
      <c r="I313" s="396">
        <v>20</v>
      </c>
      <c r="J313" s="396"/>
      <c r="K313" s="396"/>
      <c r="L313" s="396">
        <f t="shared" si="20"/>
        <v>20</v>
      </c>
      <c r="M313" s="396">
        <f t="shared" si="21"/>
        <v>7879.1299999999901</v>
      </c>
      <c r="N313" s="18" t="s">
        <v>90</v>
      </c>
      <c r="O313" s="11"/>
      <c r="P313"/>
      <c r="Q313"/>
      <c r="R313"/>
      <c r="S313"/>
      <c r="T313" s="125"/>
      <c r="U313"/>
      <c r="V313" s="18"/>
    </row>
    <row r="314" spans="1:24" x14ac:dyDescent="0.3">
      <c r="A314" s="28"/>
      <c r="B314" s="360">
        <v>44841</v>
      </c>
      <c r="C314" s="105" t="s">
        <v>400</v>
      </c>
      <c r="D314" s="11" t="s">
        <v>216</v>
      </c>
      <c r="E314" s="394" t="s">
        <v>513</v>
      </c>
      <c r="F314" s="269" t="s">
        <v>2032</v>
      </c>
      <c r="G314" s="240" t="s">
        <v>2039</v>
      </c>
      <c r="H314" s="264"/>
      <c r="I314" s="396">
        <v>183.75</v>
      </c>
      <c r="J314" s="396"/>
      <c r="K314" s="396"/>
      <c r="L314" s="396">
        <f t="shared" ref="L314:L355" si="24">I314+K314</f>
        <v>183.75</v>
      </c>
      <c r="M314" s="396">
        <f t="shared" ref="M314:M366" si="25">M313+L314</f>
        <v>8062.8799999999901</v>
      </c>
      <c r="N314" s="18" t="s">
        <v>90</v>
      </c>
      <c r="O314" s="11"/>
      <c r="P314"/>
      <c r="Q314"/>
      <c r="R314"/>
      <c r="S314"/>
      <c r="T314" s="4"/>
      <c r="U314"/>
      <c r="V314" s="11">
        <f>SUM(T307:T313)</f>
        <v>0</v>
      </c>
    </row>
    <row r="315" spans="1:24" x14ac:dyDescent="0.3">
      <c r="A315" s="28"/>
      <c r="B315" s="360">
        <v>44847</v>
      </c>
      <c r="C315" s="105" t="s">
        <v>400</v>
      </c>
      <c r="D315" s="4" t="s">
        <v>178</v>
      </c>
      <c r="E315" s="133" t="s">
        <v>36</v>
      </c>
      <c r="F315" s="269" t="s">
        <v>2011</v>
      </c>
      <c r="G315" s="240" t="s">
        <v>2039</v>
      </c>
      <c r="H315" s="264"/>
      <c r="I315" s="396">
        <v>682.5</v>
      </c>
      <c r="J315" s="396"/>
      <c r="K315" s="396"/>
      <c r="L315" s="396">
        <f t="shared" si="24"/>
        <v>682.5</v>
      </c>
      <c r="M315" s="396">
        <f t="shared" si="25"/>
        <v>8745.3799999999901</v>
      </c>
      <c r="N315" s="18" t="s">
        <v>90</v>
      </c>
      <c r="O315" s="11"/>
      <c r="P315"/>
      <c r="Q315"/>
      <c r="R315"/>
      <c r="S315"/>
      <c r="T315" s="4"/>
      <c r="U315"/>
      <c r="V315" s="74">
        <f>V305+V314</f>
        <v>8498.7900000000009</v>
      </c>
      <c r="X315" t="s">
        <v>588</v>
      </c>
    </row>
    <row r="316" spans="1:24" x14ac:dyDescent="0.3">
      <c r="A316" s="28"/>
      <c r="B316" s="360">
        <v>44851</v>
      </c>
      <c r="C316" s="105" t="s">
        <v>400</v>
      </c>
      <c r="D316" s="4" t="s">
        <v>1962</v>
      </c>
      <c r="E316" s="112" t="s">
        <v>504</v>
      </c>
      <c r="F316" s="1" t="s">
        <v>2037</v>
      </c>
      <c r="G316" s="240" t="s">
        <v>2039</v>
      </c>
      <c r="H316" s="264"/>
      <c r="I316" s="396"/>
      <c r="J316" s="396"/>
      <c r="K316" s="396">
        <v>-50</v>
      </c>
      <c r="L316" s="396">
        <f t="shared" si="24"/>
        <v>-50</v>
      </c>
      <c r="M316" s="396">
        <f t="shared" si="25"/>
        <v>8695.3799999999901</v>
      </c>
      <c r="N316" s="18" t="s">
        <v>90</v>
      </c>
      <c r="O316" s="11"/>
      <c r="P316"/>
      <c r="Q316"/>
      <c r="R316"/>
      <c r="S316"/>
      <c r="T316" s="4"/>
      <c r="U316"/>
      <c r="V316" s="43">
        <f>V315-M329</f>
        <v>0</v>
      </c>
    </row>
    <row r="317" spans="1:24" x14ac:dyDescent="0.3">
      <c r="A317" s="28"/>
      <c r="B317" s="360">
        <v>44851</v>
      </c>
      <c r="C317" s="105" t="s">
        <v>400</v>
      </c>
      <c r="D317" s="4" t="s">
        <v>2023</v>
      </c>
      <c r="E317" s="112" t="s">
        <v>504</v>
      </c>
      <c r="F317" s="1" t="s">
        <v>2040</v>
      </c>
      <c r="G317" s="240" t="s">
        <v>2039</v>
      </c>
      <c r="H317" s="264"/>
      <c r="I317" s="396"/>
      <c r="J317" s="396"/>
      <c r="K317" s="396">
        <v>-50</v>
      </c>
      <c r="L317" s="396">
        <f t="shared" si="24"/>
        <v>-50</v>
      </c>
      <c r="M317" s="396">
        <f t="shared" si="25"/>
        <v>8645.3799999999901</v>
      </c>
      <c r="N317" s="18" t="s">
        <v>90</v>
      </c>
      <c r="O317" s="11"/>
      <c r="P317"/>
      <c r="Q317"/>
      <c r="R317"/>
      <c r="S317"/>
      <c r="T317"/>
      <c r="U317"/>
      <c r="V317"/>
      <c r="X317"/>
    </row>
    <row r="318" spans="1:24" x14ac:dyDescent="0.3">
      <c r="A318" s="28"/>
      <c r="B318" s="360">
        <v>44851</v>
      </c>
      <c r="C318" s="105" t="s">
        <v>400</v>
      </c>
      <c r="D318" s="4" t="s">
        <v>293</v>
      </c>
      <c r="E318" s="112" t="s">
        <v>504</v>
      </c>
      <c r="F318" s="1" t="s">
        <v>2041</v>
      </c>
      <c r="G318" s="240" t="s">
        <v>2039</v>
      </c>
      <c r="H318" s="264"/>
      <c r="I318" s="396"/>
      <c r="J318" s="396"/>
      <c r="K318" s="396">
        <v>-50</v>
      </c>
      <c r="L318" s="396">
        <f t="shared" si="24"/>
        <v>-50</v>
      </c>
      <c r="M318" s="396">
        <f t="shared" si="25"/>
        <v>8595.3799999999901</v>
      </c>
      <c r="N318" s="18" t="s">
        <v>90</v>
      </c>
      <c r="O318" s="11"/>
      <c r="P318"/>
      <c r="Q318"/>
      <c r="R318"/>
      <c r="S318"/>
      <c r="T318" s="4"/>
      <c r="U318"/>
      <c r="V318"/>
      <c r="X318"/>
    </row>
    <row r="319" spans="1:24" x14ac:dyDescent="0.3">
      <c r="A319" s="28"/>
      <c r="B319" s="360">
        <v>44858</v>
      </c>
      <c r="C319" s="105" t="s">
        <v>400</v>
      </c>
      <c r="D319" s="4" t="s">
        <v>1845</v>
      </c>
      <c r="E319" s="133" t="s">
        <v>621</v>
      </c>
      <c r="F319" s="269" t="s">
        <v>1846</v>
      </c>
      <c r="G319" s="240" t="s">
        <v>2039</v>
      </c>
      <c r="H319" s="264"/>
      <c r="I319" s="396"/>
      <c r="J319" s="396"/>
      <c r="K319" s="396">
        <v>-10</v>
      </c>
      <c r="L319" s="396">
        <f t="shared" si="24"/>
        <v>-10</v>
      </c>
      <c r="M319" s="396">
        <f t="shared" si="25"/>
        <v>8585.3799999999901</v>
      </c>
      <c r="N319" s="18" t="s">
        <v>2250</v>
      </c>
      <c r="O319" s="11"/>
      <c r="P319"/>
      <c r="Q319" s="4"/>
      <c r="R319" s="15"/>
      <c r="T319" s="4"/>
      <c r="U319"/>
      <c r="V319"/>
      <c r="X319"/>
    </row>
    <row r="320" spans="1:24" x14ac:dyDescent="0.3">
      <c r="A320" s="28"/>
      <c r="B320" s="360">
        <v>44852</v>
      </c>
      <c r="C320" s="105" t="s">
        <v>400</v>
      </c>
      <c r="D320" s="4" t="s">
        <v>907</v>
      </c>
      <c r="E320" s="133" t="s">
        <v>512</v>
      </c>
      <c r="F320" s="168" t="s">
        <v>2042</v>
      </c>
      <c r="G320" s="240" t="s">
        <v>2039</v>
      </c>
      <c r="H320" s="33"/>
      <c r="I320" s="396">
        <v>60</v>
      </c>
      <c r="J320" s="396"/>
      <c r="K320" s="396"/>
      <c r="L320" s="396">
        <f t="shared" si="24"/>
        <v>60</v>
      </c>
      <c r="M320" s="396">
        <f t="shared" si="25"/>
        <v>8645.3799999999901</v>
      </c>
      <c r="N320" s="18" t="s">
        <v>90</v>
      </c>
      <c r="O320" s="11"/>
      <c r="P320"/>
      <c r="Q320" s="4"/>
      <c r="T320" s="4"/>
      <c r="U320"/>
      <c r="V320"/>
      <c r="X320"/>
    </row>
    <row r="321" spans="1:25" x14ac:dyDescent="0.3">
      <c r="A321" s="28"/>
      <c r="B321" s="360">
        <v>44852</v>
      </c>
      <c r="C321" s="105" t="s">
        <v>400</v>
      </c>
      <c r="D321" s="4" t="s">
        <v>907</v>
      </c>
      <c r="E321" s="112" t="s">
        <v>499</v>
      </c>
      <c r="F321" s="168" t="s">
        <v>414</v>
      </c>
      <c r="G321" s="240" t="s">
        <v>2039</v>
      </c>
      <c r="H321" s="341"/>
      <c r="I321" s="396">
        <v>50</v>
      </c>
      <c r="J321" s="396"/>
      <c r="K321" s="396"/>
      <c r="L321" s="396">
        <f t="shared" si="24"/>
        <v>50</v>
      </c>
      <c r="M321" s="396">
        <f t="shared" si="25"/>
        <v>8695.3799999999901</v>
      </c>
      <c r="N321" s="18" t="s">
        <v>90</v>
      </c>
      <c r="O321" s="11"/>
      <c r="P321"/>
      <c r="Q321" s="4"/>
      <c r="R321"/>
      <c r="S321"/>
      <c r="T321" s="4"/>
      <c r="U321"/>
      <c r="V321" s="18"/>
      <c r="X321"/>
    </row>
    <row r="322" spans="1:25" x14ac:dyDescent="0.3">
      <c r="A322" s="28"/>
      <c r="B322" s="360">
        <v>44860</v>
      </c>
      <c r="C322" s="105" t="s">
        <v>400</v>
      </c>
      <c r="D322" s="4" t="s">
        <v>240</v>
      </c>
      <c r="E322" s="133" t="s">
        <v>512</v>
      </c>
      <c r="F322" s="269" t="s">
        <v>2043</v>
      </c>
      <c r="G322" s="240" t="s">
        <v>2039</v>
      </c>
      <c r="H322" s="264"/>
      <c r="I322" s="396">
        <v>80</v>
      </c>
      <c r="J322" s="396"/>
      <c r="K322" s="396"/>
      <c r="L322" s="396">
        <f t="shared" si="24"/>
        <v>80</v>
      </c>
      <c r="M322" s="396">
        <f t="shared" si="25"/>
        <v>8775.3799999999901</v>
      </c>
      <c r="N322" s="18" t="s">
        <v>90</v>
      </c>
      <c r="O322" s="11"/>
      <c r="P322"/>
      <c r="Q322" s="4"/>
      <c r="R322"/>
      <c r="S322"/>
      <c r="T322" s="125"/>
      <c r="U322"/>
      <c r="V322"/>
    </row>
    <row r="323" spans="1:25" x14ac:dyDescent="0.3">
      <c r="A323" s="28"/>
      <c r="B323" s="360">
        <v>44862</v>
      </c>
      <c r="C323" s="105" t="s">
        <v>400</v>
      </c>
      <c r="D323" s="4" t="s">
        <v>1623</v>
      </c>
      <c r="E323" s="112" t="s">
        <v>513</v>
      </c>
      <c r="F323" s="120" t="s">
        <v>2044</v>
      </c>
      <c r="G323" s="240" t="s">
        <v>2039</v>
      </c>
      <c r="H323" s="33"/>
      <c r="I323" s="396">
        <v>56</v>
      </c>
      <c r="J323" s="396"/>
      <c r="K323" s="396"/>
      <c r="L323" s="396">
        <f t="shared" si="24"/>
        <v>56</v>
      </c>
      <c r="M323" s="396">
        <f t="shared" si="25"/>
        <v>8831.3799999999901</v>
      </c>
      <c r="N323" s="18" t="s">
        <v>90</v>
      </c>
      <c r="O323" s="11"/>
      <c r="P323"/>
      <c r="Q323" s="4"/>
      <c r="R323"/>
      <c r="S323"/>
      <c r="T323" s="4"/>
      <c r="U323"/>
      <c r="V323"/>
    </row>
    <row r="324" spans="1:25" x14ac:dyDescent="0.3">
      <c r="A324" s="28"/>
      <c r="B324" s="360">
        <v>44865</v>
      </c>
      <c r="C324" s="105" t="s">
        <v>400</v>
      </c>
      <c r="D324" s="4" t="s">
        <v>1544</v>
      </c>
      <c r="E324" s="133" t="s">
        <v>12</v>
      </c>
      <c r="F324" s="269" t="s">
        <v>2055</v>
      </c>
      <c r="G324" s="240" t="s">
        <v>2039</v>
      </c>
      <c r="H324" s="264"/>
      <c r="I324" s="396"/>
      <c r="J324" s="396"/>
      <c r="K324" s="396">
        <v>-390</v>
      </c>
      <c r="L324" s="396">
        <f t="shared" si="24"/>
        <v>-390</v>
      </c>
      <c r="M324" s="396">
        <f t="shared" si="25"/>
        <v>8441.3799999999901</v>
      </c>
      <c r="N324" s="18" t="s">
        <v>2251</v>
      </c>
      <c r="O324" s="4"/>
      <c r="P324"/>
      <c r="Q324" s="4"/>
      <c r="R324" s="15"/>
      <c r="T324" s="4"/>
      <c r="U324"/>
      <c r="X324"/>
    </row>
    <row r="325" spans="1:25" x14ac:dyDescent="0.3">
      <c r="A325" s="28"/>
      <c r="B325" s="360">
        <v>44863</v>
      </c>
      <c r="C325" s="105" t="s">
        <v>400</v>
      </c>
      <c r="D325" s="4" t="s">
        <v>1672</v>
      </c>
      <c r="E325" s="132" t="s">
        <v>11</v>
      </c>
      <c r="F325" s="269" t="s">
        <v>2048</v>
      </c>
      <c r="G325" s="240" t="s">
        <v>2039</v>
      </c>
      <c r="H325" s="264"/>
      <c r="I325" s="396"/>
      <c r="J325" s="396"/>
      <c r="K325" s="396">
        <v>-132.59</v>
      </c>
      <c r="L325" s="396">
        <f t="shared" si="24"/>
        <v>-132.59</v>
      </c>
      <c r="M325" s="396">
        <f t="shared" si="25"/>
        <v>8308.78999999999</v>
      </c>
      <c r="N325" s="18" t="s">
        <v>2236</v>
      </c>
      <c r="O325" s="11"/>
      <c r="P325"/>
      <c r="V325"/>
      <c r="W325"/>
      <c r="Y325"/>
    </row>
    <row r="326" spans="1:25" x14ac:dyDescent="0.3">
      <c r="A326" s="28"/>
      <c r="B326" s="360">
        <v>44865</v>
      </c>
      <c r="C326" s="105" t="s">
        <v>400</v>
      </c>
      <c r="D326" s="4" t="s">
        <v>2051</v>
      </c>
      <c r="E326" s="132" t="s">
        <v>512</v>
      </c>
      <c r="F326" s="269" t="s">
        <v>2052</v>
      </c>
      <c r="G326" s="240" t="s">
        <v>2039</v>
      </c>
      <c r="H326" s="264"/>
      <c r="I326" s="396">
        <v>80</v>
      </c>
      <c r="J326" s="396"/>
      <c r="K326" s="396"/>
      <c r="L326" s="396">
        <f t="shared" si="24"/>
        <v>80</v>
      </c>
      <c r="M326" s="396">
        <f t="shared" si="25"/>
        <v>8388.78999999999</v>
      </c>
      <c r="N326" s="18" t="s">
        <v>90</v>
      </c>
      <c r="O326" s="4"/>
      <c r="P326"/>
      <c r="U326"/>
      <c r="V326"/>
    </row>
    <row r="327" spans="1:25" x14ac:dyDescent="0.3">
      <c r="A327" s="28"/>
      <c r="B327" s="360">
        <v>44865</v>
      </c>
      <c r="C327" s="105" t="s">
        <v>400</v>
      </c>
      <c r="D327" s="4" t="s">
        <v>2051</v>
      </c>
      <c r="E327" s="133" t="s">
        <v>500</v>
      </c>
      <c r="F327" s="168" t="s">
        <v>1108</v>
      </c>
      <c r="G327" s="240" t="s">
        <v>2039</v>
      </c>
      <c r="H327" s="264"/>
      <c r="I327" s="396">
        <v>50</v>
      </c>
      <c r="J327" s="396"/>
      <c r="K327" s="396"/>
      <c r="L327" s="396">
        <f t="shared" si="24"/>
        <v>50</v>
      </c>
      <c r="M327" s="396">
        <f t="shared" si="25"/>
        <v>8438.78999999999</v>
      </c>
      <c r="N327" s="18" t="s">
        <v>90</v>
      </c>
      <c r="O327" s="11"/>
      <c r="P327"/>
      <c r="Q327" s="4"/>
      <c r="T327" s="4"/>
      <c r="U327"/>
      <c r="V327" s="11"/>
      <c r="X327" s="125" t="s">
        <v>1169</v>
      </c>
    </row>
    <row r="328" spans="1:25" x14ac:dyDescent="0.3">
      <c r="A328" s="34"/>
      <c r="B328" s="360">
        <v>44865</v>
      </c>
      <c r="C328" s="105" t="s">
        <v>400</v>
      </c>
      <c r="D328" s="4" t="s">
        <v>2054</v>
      </c>
      <c r="E328" s="133" t="s">
        <v>512</v>
      </c>
      <c r="F328" s="269" t="s">
        <v>2056</v>
      </c>
      <c r="G328" s="240" t="s">
        <v>2039</v>
      </c>
      <c r="H328" s="264"/>
      <c r="I328" s="396">
        <v>60</v>
      </c>
      <c r="J328" s="396"/>
      <c r="K328" s="396"/>
      <c r="L328" s="396">
        <f t="shared" si="24"/>
        <v>60</v>
      </c>
      <c r="M328" s="396">
        <f t="shared" si="25"/>
        <v>8498.78999999999</v>
      </c>
      <c r="N328" s="18" t="s">
        <v>90</v>
      </c>
      <c r="P328"/>
      <c r="U328"/>
    </row>
    <row r="329" spans="1:25" ht="15.5" x14ac:dyDescent="0.35">
      <c r="C329" s="131" t="s">
        <v>400</v>
      </c>
      <c r="D329" s="4"/>
      <c r="E329" s="133" t="s">
        <v>2039</v>
      </c>
      <c r="F329" s="269"/>
      <c r="G329" s="240" t="s">
        <v>2039</v>
      </c>
      <c r="H329" s="264"/>
      <c r="I329" s="240"/>
      <c r="J329" s="240"/>
      <c r="K329" s="270"/>
      <c r="L329" s="43">
        <f t="shared" si="24"/>
        <v>0</v>
      </c>
      <c r="M329" s="331">
        <f t="shared" si="25"/>
        <v>8498.78999999999</v>
      </c>
      <c r="N329" s="16"/>
      <c r="O329"/>
      <c r="P329" s="4"/>
      <c r="R329" s="15"/>
      <c r="S329" s="4"/>
      <c r="T329"/>
    </row>
    <row r="330" spans="1:25" x14ac:dyDescent="0.3">
      <c r="A330" s="395" t="s">
        <v>897</v>
      </c>
      <c r="B330" s="360">
        <v>44889</v>
      </c>
      <c r="C330" s="131" t="s">
        <v>491</v>
      </c>
      <c r="D330" s="4" t="s">
        <v>299</v>
      </c>
      <c r="E330" s="132" t="s">
        <v>301</v>
      </c>
      <c r="F330" s="120" t="s">
        <v>1801</v>
      </c>
      <c r="G330" s="240" t="s">
        <v>2039</v>
      </c>
      <c r="H330" s="33"/>
      <c r="I330" s="396"/>
      <c r="J330" s="396"/>
      <c r="K330" s="396">
        <v>-45.54</v>
      </c>
      <c r="L330" s="396">
        <f t="shared" si="24"/>
        <v>-45.54</v>
      </c>
      <c r="M330" s="396">
        <f t="shared" si="25"/>
        <v>8453.2499999999891</v>
      </c>
      <c r="N330" s="16" t="s">
        <v>327</v>
      </c>
      <c r="P330" s="4"/>
      <c r="R330" s="15"/>
      <c r="S330" s="4"/>
      <c r="T330"/>
    </row>
    <row r="331" spans="1:25" x14ac:dyDescent="0.3">
      <c r="B331" s="360">
        <v>44893</v>
      </c>
      <c r="C331" s="131" t="s">
        <v>491</v>
      </c>
      <c r="D331" s="4" t="s">
        <v>607</v>
      </c>
      <c r="E331" s="133" t="s">
        <v>11</v>
      </c>
      <c r="F331" s="120" t="s">
        <v>1802</v>
      </c>
      <c r="G331" s="240" t="s">
        <v>2039</v>
      </c>
      <c r="H331" s="33"/>
      <c r="I331" s="396"/>
      <c r="J331" s="396"/>
      <c r="K331" s="396">
        <v>-29.54</v>
      </c>
      <c r="L331" s="396">
        <f t="shared" si="24"/>
        <v>-29.54</v>
      </c>
      <c r="M331" s="396">
        <f t="shared" si="25"/>
        <v>8423.7099999999882</v>
      </c>
      <c r="N331" s="16" t="s">
        <v>49</v>
      </c>
      <c r="P331" s="4"/>
      <c r="Q331" s="30" t="s">
        <v>2059</v>
      </c>
      <c r="R331" s="30"/>
      <c r="S331" s="30"/>
      <c r="T331"/>
      <c r="U331"/>
      <c r="V331"/>
      <c r="X331"/>
    </row>
    <row r="332" spans="1:25" x14ac:dyDescent="0.3">
      <c r="B332" s="360">
        <v>44886</v>
      </c>
      <c r="C332" s="131" t="s">
        <v>491</v>
      </c>
      <c r="D332" s="4" t="s">
        <v>2046</v>
      </c>
      <c r="E332" s="133" t="s">
        <v>12</v>
      </c>
      <c r="F332" s="269" t="s">
        <v>1802</v>
      </c>
      <c r="G332" s="240" t="s">
        <v>2039</v>
      </c>
      <c r="H332" s="264"/>
      <c r="I332" s="396"/>
      <c r="J332" s="396"/>
      <c r="K332" s="396">
        <v>-43.2</v>
      </c>
      <c r="L332" s="396">
        <f t="shared" si="24"/>
        <v>-43.2</v>
      </c>
      <c r="M332" s="396">
        <f t="shared" si="25"/>
        <v>8380.5099999999875</v>
      </c>
      <c r="N332" s="16" t="s">
        <v>49</v>
      </c>
      <c r="P332" s="4"/>
      <c r="Q332"/>
      <c r="R332"/>
      <c r="S332"/>
      <c r="T332"/>
      <c r="U332"/>
      <c r="V332"/>
      <c r="X332"/>
    </row>
    <row r="333" spans="1:25" x14ac:dyDescent="0.3">
      <c r="B333" s="360">
        <v>44872</v>
      </c>
      <c r="C333" s="131" t="s">
        <v>491</v>
      </c>
      <c r="D333" s="4" t="s">
        <v>48</v>
      </c>
      <c r="E333" s="133" t="s">
        <v>12</v>
      </c>
      <c r="F333" s="269" t="s">
        <v>1802</v>
      </c>
      <c r="G333" s="240" t="s">
        <v>2039</v>
      </c>
      <c r="H333" s="264"/>
      <c r="I333" s="396"/>
      <c r="J333" s="396"/>
      <c r="K333" s="396">
        <v>-72.42</v>
      </c>
      <c r="L333" s="396">
        <f t="shared" si="24"/>
        <v>-72.42</v>
      </c>
      <c r="M333" s="396">
        <f t="shared" si="25"/>
        <v>8308.0899999999874</v>
      </c>
      <c r="N333" s="18" t="s">
        <v>2238</v>
      </c>
      <c r="P333" s="4"/>
      <c r="Q333" t="s">
        <v>584</v>
      </c>
      <c r="R333"/>
      <c r="S333"/>
      <c r="T333"/>
      <c r="U333"/>
      <c r="V333">
        <v>8132.93</v>
      </c>
      <c r="X333"/>
    </row>
    <row r="334" spans="1:25" x14ac:dyDescent="0.3">
      <c r="C334" s="131" t="s">
        <v>491</v>
      </c>
      <c r="D334" s="4" t="s">
        <v>58</v>
      </c>
      <c r="E334" s="133" t="s">
        <v>9</v>
      </c>
      <c r="F334" s="269" t="s">
        <v>400</v>
      </c>
      <c r="G334" s="240" t="s">
        <v>2039</v>
      </c>
      <c r="H334" s="264"/>
      <c r="I334" s="396"/>
      <c r="J334" s="396"/>
      <c r="K334" s="396"/>
      <c r="L334" s="396">
        <f t="shared" si="24"/>
        <v>0</v>
      </c>
      <c r="M334" s="396">
        <f t="shared" si="25"/>
        <v>8308.0899999999874</v>
      </c>
      <c r="N334" s="16" t="s">
        <v>327</v>
      </c>
      <c r="P334" s="4"/>
      <c r="Q334" t="s">
        <v>586</v>
      </c>
      <c r="R334"/>
      <c r="S334"/>
      <c r="T334"/>
      <c r="U334"/>
      <c r="V334"/>
      <c r="X334"/>
    </row>
    <row r="335" spans="1:25" x14ac:dyDescent="0.3">
      <c r="C335" s="131" t="s">
        <v>491</v>
      </c>
      <c r="D335" s="4" t="s">
        <v>58</v>
      </c>
      <c r="E335" s="133" t="s">
        <v>8</v>
      </c>
      <c r="F335" s="269" t="s">
        <v>400</v>
      </c>
      <c r="G335" s="240" t="s">
        <v>2039</v>
      </c>
      <c r="H335" s="264"/>
      <c r="I335" s="396"/>
      <c r="J335" s="396"/>
      <c r="K335" s="396"/>
      <c r="L335" s="396">
        <f t="shared" si="24"/>
        <v>0</v>
      </c>
      <c r="M335" s="396">
        <f t="shared" si="25"/>
        <v>8308.0899999999874</v>
      </c>
      <c r="N335" s="16" t="s">
        <v>327</v>
      </c>
      <c r="P335" s="4"/>
      <c r="Q335"/>
      <c r="R335"/>
      <c r="S335"/>
      <c r="T335" s="4"/>
      <c r="U335"/>
      <c r="V335"/>
      <c r="X335"/>
    </row>
    <row r="336" spans="1:25" x14ac:dyDescent="0.3">
      <c r="B336" s="360">
        <v>44866</v>
      </c>
      <c r="C336" s="131" t="s">
        <v>491</v>
      </c>
      <c r="D336" s="4" t="s">
        <v>670</v>
      </c>
      <c r="E336" s="133" t="s">
        <v>513</v>
      </c>
      <c r="F336" s="120" t="s">
        <v>2057</v>
      </c>
      <c r="G336" s="240" t="s">
        <v>2039</v>
      </c>
      <c r="H336" s="33"/>
      <c r="I336" s="396">
        <v>60</v>
      </c>
      <c r="J336" s="396"/>
      <c r="K336" s="396"/>
      <c r="L336" s="396">
        <f t="shared" si="24"/>
        <v>60</v>
      </c>
      <c r="M336" s="396">
        <f t="shared" si="25"/>
        <v>8368.0899999999874</v>
      </c>
      <c r="N336" s="16"/>
      <c r="P336" s="4"/>
      <c r="Q336" t="s">
        <v>1544</v>
      </c>
      <c r="R336"/>
      <c r="S336"/>
      <c r="T336" s="4">
        <v>-420</v>
      </c>
      <c r="U336"/>
      <c r="V336"/>
      <c r="X336"/>
    </row>
    <row r="337" spans="1:24" x14ac:dyDescent="0.3">
      <c r="B337" s="360">
        <v>44874</v>
      </c>
      <c r="C337" s="131" t="s">
        <v>491</v>
      </c>
      <c r="D337" s="4" t="s">
        <v>234</v>
      </c>
      <c r="E337" s="133" t="s">
        <v>12</v>
      </c>
      <c r="F337" s="269" t="s">
        <v>2060</v>
      </c>
      <c r="G337" s="240" t="s">
        <v>2039</v>
      </c>
      <c r="H337" s="264"/>
      <c r="I337" s="396"/>
      <c r="J337" s="396"/>
      <c r="K337" s="396">
        <v>-51.07</v>
      </c>
      <c r="L337" s="396">
        <f t="shared" si="24"/>
        <v>-51.07</v>
      </c>
      <c r="M337" s="396">
        <f t="shared" si="25"/>
        <v>8317.0199999999877</v>
      </c>
      <c r="N337" s="16" t="s">
        <v>2236</v>
      </c>
      <c r="P337" s="4"/>
      <c r="Q337"/>
      <c r="R337"/>
      <c r="S337"/>
      <c r="T337" s="4"/>
      <c r="U337"/>
      <c r="V337"/>
      <c r="X337"/>
    </row>
    <row r="338" spans="1:24" x14ac:dyDescent="0.3">
      <c r="B338" s="360">
        <v>44874</v>
      </c>
      <c r="C338" s="131" t="s">
        <v>491</v>
      </c>
      <c r="D338" s="4" t="s">
        <v>782</v>
      </c>
      <c r="E338" s="112" t="s">
        <v>518</v>
      </c>
      <c r="F338" s="120" t="s">
        <v>2061</v>
      </c>
      <c r="G338" s="240" t="s">
        <v>2039</v>
      </c>
      <c r="H338" s="210"/>
      <c r="I338" s="396"/>
      <c r="J338" s="396"/>
      <c r="K338" s="396">
        <v>-586.19000000000005</v>
      </c>
      <c r="L338" s="396">
        <f t="shared" si="24"/>
        <v>-586.19000000000005</v>
      </c>
      <c r="M338" s="396">
        <f t="shared" si="25"/>
        <v>7730.8299999999872</v>
      </c>
      <c r="N338" s="16" t="s">
        <v>2236</v>
      </c>
      <c r="P338" s="4"/>
      <c r="Q338"/>
      <c r="R338"/>
      <c r="S338"/>
      <c r="T338" s="125"/>
      <c r="U338"/>
      <c r="V338"/>
      <c r="X338"/>
    </row>
    <row r="339" spans="1:24" x14ac:dyDescent="0.3">
      <c r="B339" s="360">
        <v>44874</v>
      </c>
      <c r="C339" s="131" t="s">
        <v>491</v>
      </c>
      <c r="D339" s="4" t="s">
        <v>268</v>
      </c>
      <c r="E339" s="112" t="s">
        <v>518</v>
      </c>
      <c r="F339" s="120" t="s">
        <v>2062</v>
      </c>
      <c r="G339" s="240" t="s">
        <v>2039</v>
      </c>
      <c r="H339" s="264"/>
      <c r="I339" s="396"/>
      <c r="J339" s="396"/>
      <c r="K339" s="396">
        <v>-27.9</v>
      </c>
      <c r="L339" s="396">
        <f t="shared" si="24"/>
        <v>-27.9</v>
      </c>
      <c r="M339" s="396">
        <f t="shared" si="25"/>
        <v>7702.9299999999876</v>
      </c>
      <c r="N339" s="16" t="s">
        <v>2236</v>
      </c>
      <c r="P339" s="4"/>
      <c r="Q339"/>
      <c r="R339"/>
      <c r="S339"/>
      <c r="T339" s="125"/>
      <c r="U339"/>
      <c r="V339"/>
      <c r="X339"/>
    </row>
    <row r="340" spans="1:24" x14ac:dyDescent="0.3">
      <c r="A340" s="28"/>
      <c r="B340" s="360">
        <v>44873</v>
      </c>
      <c r="C340" s="131" t="s">
        <v>491</v>
      </c>
      <c r="D340" s="4" t="s">
        <v>1902</v>
      </c>
      <c r="E340" s="112" t="s">
        <v>518</v>
      </c>
      <c r="F340" s="120" t="s">
        <v>1551</v>
      </c>
      <c r="G340" s="240" t="s">
        <v>2039</v>
      </c>
      <c r="H340" s="210"/>
      <c r="I340" s="396"/>
      <c r="J340" s="396"/>
      <c r="K340" s="396">
        <v>-95</v>
      </c>
      <c r="L340" s="396">
        <f t="shared" si="24"/>
        <v>-95</v>
      </c>
      <c r="M340" s="396">
        <f t="shared" si="25"/>
        <v>7607.9299999999876</v>
      </c>
      <c r="N340" s="18" t="s">
        <v>2236</v>
      </c>
      <c r="O340"/>
      <c r="P340" s="15"/>
      <c r="Q340" s="4"/>
      <c r="R340" s="15"/>
      <c r="S340" s="11"/>
      <c r="T340" s="125"/>
      <c r="U340"/>
      <c r="V340"/>
      <c r="X340"/>
    </row>
    <row r="341" spans="1:24" x14ac:dyDescent="0.3">
      <c r="A341" s="28"/>
      <c r="B341" s="360">
        <v>44880</v>
      </c>
      <c r="C341" s="131" t="s">
        <v>491</v>
      </c>
      <c r="D341" s="4" t="s">
        <v>2063</v>
      </c>
      <c r="E341" s="112" t="s">
        <v>512</v>
      </c>
      <c r="F341" s="120" t="s">
        <v>2106</v>
      </c>
      <c r="G341" s="240" t="s">
        <v>2039</v>
      </c>
      <c r="H341" s="343"/>
      <c r="I341" s="396">
        <v>80</v>
      </c>
      <c r="J341" s="396"/>
      <c r="K341" s="396"/>
      <c r="L341" s="396">
        <f t="shared" si="24"/>
        <v>80</v>
      </c>
      <c r="M341" s="396">
        <f t="shared" si="25"/>
        <v>7687.9299999999876</v>
      </c>
      <c r="P341" s="15"/>
      <c r="Q341"/>
      <c r="R341"/>
      <c r="S341"/>
      <c r="T341" s="125"/>
      <c r="U341"/>
      <c r="V341" s="18"/>
    </row>
    <row r="342" spans="1:24" x14ac:dyDescent="0.3">
      <c r="A342" s="28"/>
      <c r="B342" s="360">
        <v>44880</v>
      </c>
      <c r="C342" s="131" t="s">
        <v>491</v>
      </c>
      <c r="D342" s="4" t="s">
        <v>2063</v>
      </c>
      <c r="E342" s="112" t="s">
        <v>499</v>
      </c>
      <c r="F342" s="120" t="s">
        <v>2106</v>
      </c>
      <c r="G342" s="240" t="s">
        <v>2039</v>
      </c>
      <c r="H342" s="343"/>
      <c r="I342" s="396">
        <v>50</v>
      </c>
      <c r="J342" s="396"/>
      <c r="K342" s="396"/>
      <c r="L342" s="396">
        <f>I342+K342</f>
        <v>50</v>
      </c>
      <c r="M342" s="396">
        <f t="shared" si="25"/>
        <v>7737.9299999999876</v>
      </c>
      <c r="P342" s="15"/>
      <c r="Q342"/>
      <c r="R342"/>
      <c r="S342"/>
      <c r="T342" s="125"/>
      <c r="U342"/>
      <c r="V342" s="18"/>
    </row>
    <row r="343" spans="1:24" x14ac:dyDescent="0.3">
      <c r="A343" s="28"/>
      <c r="B343" s="360">
        <v>44875</v>
      </c>
      <c r="C343" s="131" t="s">
        <v>491</v>
      </c>
      <c r="D343" s="4" t="s">
        <v>166</v>
      </c>
      <c r="E343" s="132" t="s">
        <v>513</v>
      </c>
      <c r="F343" s="33" t="s">
        <v>2104</v>
      </c>
      <c r="G343" s="240" t="s">
        <v>2039</v>
      </c>
      <c r="H343" s="264"/>
      <c r="I343" s="396">
        <v>340</v>
      </c>
      <c r="J343" s="396"/>
      <c r="K343" s="396"/>
      <c r="L343" s="396">
        <f t="shared" si="24"/>
        <v>340</v>
      </c>
      <c r="M343" s="396">
        <f t="shared" si="25"/>
        <v>8077.9299999999876</v>
      </c>
      <c r="O343"/>
      <c r="P343" s="15"/>
      <c r="Q343"/>
      <c r="R343"/>
      <c r="S343"/>
      <c r="T343" s="4"/>
      <c r="U343"/>
      <c r="V343" s="11">
        <f>SUM(T335:T341)</f>
        <v>-420</v>
      </c>
    </row>
    <row r="344" spans="1:24" x14ac:dyDescent="0.3">
      <c r="A344" s="28"/>
      <c r="B344" s="360">
        <v>44874</v>
      </c>
      <c r="C344" s="131" t="s">
        <v>491</v>
      </c>
      <c r="D344" s="4" t="s">
        <v>1365</v>
      </c>
      <c r="E344" s="133" t="s">
        <v>512</v>
      </c>
      <c r="F344" s="269" t="s">
        <v>2065</v>
      </c>
      <c r="G344" s="240" t="s">
        <v>2039</v>
      </c>
      <c r="H344" s="264"/>
      <c r="I344" s="396">
        <v>20</v>
      </c>
      <c r="J344" s="396"/>
      <c r="K344" s="396"/>
      <c r="L344" s="396">
        <f t="shared" si="24"/>
        <v>20</v>
      </c>
      <c r="M344" s="396">
        <f t="shared" si="25"/>
        <v>8097.9299999999876</v>
      </c>
      <c r="P344" s="15"/>
      <c r="Q344"/>
      <c r="R344"/>
      <c r="S344"/>
      <c r="T344" s="4"/>
      <c r="U344"/>
      <c r="V344" s="74">
        <f>V333+V343</f>
        <v>7712.93</v>
      </c>
      <c r="X344" t="s">
        <v>588</v>
      </c>
    </row>
    <row r="345" spans="1:24" x14ac:dyDescent="0.3">
      <c r="A345" s="28"/>
      <c r="B345" s="360">
        <v>44874</v>
      </c>
      <c r="C345" s="131" t="s">
        <v>491</v>
      </c>
      <c r="D345" s="4" t="s">
        <v>2064</v>
      </c>
      <c r="E345" s="133" t="s">
        <v>512</v>
      </c>
      <c r="F345" s="269" t="s">
        <v>2072</v>
      </c>
      <c r="G345" s="240" t="s">
        <v>2039</v>
      </c>
      <c r="H345" s="264"/>
      <c r="I345" s="396">
        <v>84</v>
      </c>
      <c r="J345" s="396"/>
      <c r="K345" s="396"/>
      <c r="L345" s="396">
        <f t="shared" si="24"/>
        <v>84</v>
      </c>
      <c r="M345" s="396">
        <f t="shared" si="25"/>
        <v>8181.9299999999876</v>
      </c>
      <c r="P345" s="15"/>
      <c r="Q345"/>
      <c r="R345"/>
      <c r="S345"/>
      <c r="T345" s="4"/>
      <c r="U345"/>
      <c r="V345" s="43">
        <f>V344-M354</f>
        <v>1.2732925824820995E-11</v>
      </c>
    </row>
    <row r="346" spans="1:24" x14ac:dyDescent="0.3">
      <c r="A346" s="28"/>
      <c r="B346" s="360">
        <v>44893</v>
      </c>
      <c r="C346" s="131" t="s">
        <v>491</v>
      </c>
      <c r="D346" s="4" t="s">
        <v>1988</v>
      </c>
      <c r="E346" s="133" t="s">
        <v>512</v>
      </c>
      <c r="F346" s="269" t="s">
        <v>2096</v>
      </c>
      <c r="G346" s="240" t="s">
        <v>2039</v>
      </c>
      <c r="H346" s="264"/>
      <c r="I346" s="396">
        <v>170</v>
      </c>
      <c r="J346" s="396"/>
      <c r="K346" s="396"/>
      <c r="L346" s="396">
        <f t="shared" si="24"/>
        <v>170</v>
      </c>
      <c r="M346" s="396">
        <f t="shared" si="25"/>
        <v>8351.9299999999876</v>
      </c>
      <c r="P346" s="15"/>
      <c r="Q346" s="11"/>
    </row>
    <row r="347" spans="1:24" x14ac:dyDescent="0.3">
      <c r="A347" s="28"/>
      <c r="B347" s="360">
        <v>44887</v>
      </c>
      <c r="C347" s="131" t="s">
        <v>491</v>
      </c>
      <c r="D347" s="11" t="s">
        <v>2093</v>
      </c>
      <c r="E347" s="133" t="s">
        <v>512</v>
      </c>
      <c r="F347" s="269" t="s">
        <v>2095</v>
      </c>
      <c r="G347" s="240" t="s">
        <v>2039</v>
      </c>
      <c r="H347" s="264"/>
      <c r="I347" s="396">
        <v>42</v>
      </c>
      <c r="J347" s="396"/>
      <c r="K347" s="396"/>
      <c r="L347" s="396">
        <f t="shared" si="24"/>
        <v>42</v>
      </c>
      <c r="M347" s="396">
        <f t="shared" si="25"/>
        <v>8393.9299999999876</v>
      </c>
      <c r="P347" s="15"/>
      <c r="Q347" s="11"/>
    </row>
    <row r="348" spans="1:24" x14ac:dyDescent="0.3">
      <c r="A348" s="28"/>
      <c r="B348" s="360">
        <v>44893</v>
      </c>
      <c r="C348" s="131" t="s">
        <v>491</v>
      </c>
      <c r="D348" s="4" t="s">
        <v>2066</v>
      </c>
      <c r="E348" s="133" t="s">
        <v>512</v>
      </c>
      <c r="F348" s="120" t="s">
        <v>2067</v>
      </c>
      <c r="G348" s="240" t="s">
        <v>2039</v>
      </c>
      <c r="H348" s="264"/>
      <c r="I348" s="396">
        <v>21</v>
      </c>
      <c r="J348" s="396"/>
      <c r="K348" s="396"/>
      <c r="L348" s="396">
        <f t="shared" si="24"/>
        <v>21</v>
      </c>
      <c r="M348" s="396">
        <f t="shared" si="25"/>
        <v>8414.9299999999876</v>
      </c>
      <c r="O348"/>
      <c r="P348" s="15"/>
      <c r="Q348" s="11"/>
    </row>
    <row r="349" spans="1:24" x14ac:dyDescent="0.3">
      <c r="A349" s="28"/>
      <c r="B349" s="360">
        <v>44894</v>
      </c>
      <c r="C349" s="131" t="s">
        <v>491</v>
      </c>
      <c r="D349" s="4" t="s">
        <v>1845</v>
      </c>
      <c r="E349" s="133" t="s">
        <v>621</v>
      </c>
      <c r="F349" s="269" t="s">
        <v>2068</v>
      </c>
      <c r="G349" s="240" t="s">
        <v>2039</v>
      </c>
      <c r="H349" s="264"/>
      <c r="I349" s="396"/>
      <c r="J349" s="396"/>
      <c r="K349" s="396">
        <v>-32</v>
      </c>
      <c r="L349" s="396">
        <f t="shared" si="24"/>
        <v>-32</v>
      </c>
      <c r="M349" s="396">
        <f t="shared" si="25"/>
        <v>8382.9299999999876</v>
      </c>
      <c r="N349" s="18" t="s">
        <v>2249</v>
      </c>
      <c r="P349" s="15"/>
      <c r="Q349" s="11"/>
    </row>
    <row r="350" spans="1:24" x14ac:dyDescent="0.3">
      <c r="A350" s="28"/>
      <c r="B350" s="360">
        <v>44894</v>
      </c>
      <c r="C350" s="131" t="s">
        <v>491</v>
      </c>
      <c r="D350" s="4" t="s">
        <v>234</v>
      </c>
      <c r="E350" s="133" t="s">
        <v>12</v>
      </c>
      <c r="F350" s="269" t="s">
        <v>1362</v>
      </c>
      <c r="G350" s="240" t="s">
        <v>2039</v>
      </c>
      <c r="H350" s="264"/>
      <c r="I350" s="396"/>
      <c r="J350" s="396"/>
      <c r="K350" s="396">
        <v>-36</v>
      </c>
      <c r="L350" s="396">
        <f t="shared" si="24"/>
        <v>-36</v>
      </c>
      <c r="M350" s="396">
        <f t="shared" si="25"/>
        <v>8346.9299999999876</v>
      </c>
      <c r="N350" s="18" t="s">
        <v>2252</v>
      </c>
      <c r="P350" s="15"/>
      <c r="Q350" s="11"/>
    </row>
    <row r="351" spans="1:24" x14ac:dyDescent="0.3">
      <c r="A351" s="28"/>
      <c r="B351" s="360">
        <v>44894</v>
      </c>
      <c r="C351" s="131" t="s">
        <v>491</v>
      </c>
      <c r="D351" s="4" t="s">
        <v>1563</v>
      </c>
      <c r="E351" s="133" t="s">
        <v>518</v>
      </c>
      <c r="F351" s="269" t="s">
        <v>2069</v>
      </c>
      <c r="G351" s="240" t="s">
        <v>2039</v>
      </c>
      <c r="H351" s="264"/>
      <c r="I351" s="396"/>
      <c r="J351" s="396"/>
      <c r="K351" s="396">
        <v>-78</v>
      </c>
      <c r="L351" s="396">
        <f t="shared" si="24"/>
        <v>-78</v>
      </c>
      <c r="M351" s="396">
        <f t="shared" si="25"/>
        <v>8268.9299999999876</v>
      </c>
      <c r="N351" s="18" t="s">
        <v>2253</v>
      </c>
      <c r="P351" s="15"/>
      <c r="Q351" s="11"/>
    </row>
    <row r="352" spans="1:24" x14ac:dyDescent="0.3">
      <c r="A352" s="28"/>
      <c r="B352" s="360">
        <v>44894</v>
      </c>
      <c r="C352" s="131" t="s">
        <v>491</v>
      </c>
      <c r="D352" s="4" t="s">
        <v>2070</v>
      </c>
      <c r="E352" s="116" t="s">
        <v>518</v>
      </c>
      <c r="F352" s="269" t="s">
        <v>2071</v>
      </c>
      <c r="G352" s="240" t="s">
        <v>2039</v>
      </c>
      <c r="H352" s="264"/>
      <c r="I352" s="396"/>
      <c r="J352" s="396"/>
      <c r="K352" s="396">
        <v>-126</v>
      </c>
      <c r="L352" s="396">
        <f t="shared" si="24"/>
        <v>-126</v>
      </c>
      <c r="M352" s="396">
        <f t="shared" si="25"/>
        <v>8142.9299999999876</v>
      </c>
      <c r="N352" s="18" t="s">
        <v>2254</v>
      </c>
      <c r="P352" s="15"/>
      <c r="Q352" s="11"/>
    </row>
    <row r="353" spans="1:29" x14ac:dyDescent="0.3">
      <c r="A353" s="28"/>
      <c r="B353" s="360">
        <v>44879</v>
      </c>
      <c r="C353" s="131" t="s">
        <v>491</v>
      </c>
      <c r="D353" s="4" t="s">
        <v>1845</v>
      </c>
      <c r="E353" s="112" t="s">
        <v>621</v>
      </c>
      <c r="F353" s="120" t="s">
        <v>1846</v>
      </c>
      <c r="G353" s="240" t="s">
        <v>2039</v>
      </c>
      <c r="H353" s="264"/>
      <c r="I353" s="396"/>
      <c r="J353" s="396"/>
      <c r="K353" s="396">
        <v>-10</v>
      </c>
      <c r="L353" s="396">
        <f t="shared" si="24"/>
        <v>-10</v>
      </c>
      <c r="M353" s="396">
        <f t="shared" si="25"/>
        <v>8132.9299999999876</v>
      </c>
      <c r="N353" s="18" t="s">
        <v>2255</v>
      </c>
      <c r="P353" s="15"/>
      <c r="Q353" s="11"/>
      <c r="V353"/>
      <c r="W353"/>
    </row>
    <row r="354" spans="1:29" x14ac:dyDescent="0.3">
      <c r="A354" s="28"/>
      <c r="B354" s="360">
        <v>44896</v>
      </c>
      <c r="C354" s="131" t="s">
        <v>491</v>
      </c>
      <c r="D354" s="4" t="s">
        <v>1544</v>
      </c>
      <c r="E354" s="132" t="s">
        <v>12</v>
      </c>
      <c r="F354" s="269" t="s">
        <v>897</v>
      </c>
      <c r="G354" s="240" t="s">
        <v>2039</v>
      </c>
      <c r="H354" s="264"/>
      <c r="I354" s="399"/>
      <c r="J354" s="399"/>
      <c r="K354" s="399">
        <v>-420</v>
      </c>
      <c r="L354" s="396">
        <f t="shared" si="24"/>
        <v>-420</v>
      </c>
      <c r="M354" s="396">
        <f t="shared" si="25"/>
        <v>7712.9299999999876</v>
      </c>
      <c r="N354" s="18" t="s">
        <v>2256</v>
      </c>
      <c r="P354" s="15"/>
      <c r="Q354" s="11"/>
      <c r="R354" s="30"/>
      <c r="S354" s="30"/>
      <c r="T354" s="30"/>
      <c r="U354"/>
      <c r="V354"/>
      <c r="W354"/>
      <c r="Y354"/>
    </row>
    <row r="355" spans="1:29" ht="14" x14ac:dyDescent="0.3">
      <c r="A355" s="28"/>
      <c r="C355" s="131" t="s">
        <v>491</v>
      </c>
      <c r="D355" s="4"/>
      <c r="E355" s="116" t="s">
        <v>2039</v>
      </c>
      <c r="F355" s="269"/>
      <c r="G355" s="240" t="s">
        <v>2039</v>
      </c>
      <c r="H355" s="264"/>
      <c r="I355" s="215"/>
      <c r="J355" s="215"/>
      <c r="K355" s="232"/>
      <c r="L355" s="43">
        <f t="shared" si="24"/>
        <v>0</v>
      </c>
      <c r="M355" s="281">
        <f t="shared" si="25"/>
        <v>7712.9299999999876</v>
      </c>
      <c r="O355"/>
      <c r="P355" s="15"/>
      <c r="Q355" s="11"/>
      <c r="R355"/>
      <c r="S355"/>
      <c r="T355"/>
      <c r="U355"/>
      <c r="V355"/>
      <c r="W355"/>
      <c r="Y355"/>
    </row>
    <row r="356" spans="1:29" x14ac:dyDescent="0.3">
      <c r="A356" s="24" t="s">
        <v>937</v>
      </c>
      <c r="B356" s="360">
        <v>44923</v>
      </c>
      <c r="C356" s="105" t="s">
        <v>492</v>
      </c>
      <c r="D356" s="4" t="s">
        <v>299</v>
      </c>
      <c r="E356" s="132" t="s">
        <v>301</v>
      </c>
      <c r="F356" s="120" t="s">
        <v>1801</v>
      </c>
      <c r="G356" s="240" t="s">
        <v>2039</v>
      </c>
      <c r="H356" s="33"/>
      <c r="I356" s="399"/>
      <c r="J356" s="399"/>
      <c r="K356" s="399">
        <v>-45.54</v>
      </c>
      <c r="L356" s="396">
        <f t="shared" ref="L356:L369" si="26">I356+K356</f>
        <v>-45.54</v>
      </c>
      <c r="M356" s="396">
        <f t="shared" si="25"/>
        <v>7667.3899999999876</v>
      </c>
      <c r="N356" s="18" t="s">
        <v>327</v>
      </c>
      <c r="T356" s="57"/>
    </row>
    <row r="357" spans="1:29" x14ac:dyDescent="0.3">
      <c r="A357" s="12"/>
      <c r="B357" s="360">
        <v>44924</v>
      </c>
      <c r="C357" s="105" t="s">
        <v>492</v>
      </c>
      <c r="D357" s="4" t="s">
        <v>607</v>
      </c>
      <c r="E357" s="133" t="s">
        <v>11</v>
      </c>
      <c r="F357" s="120" t="s">
        <v>1802</v>
      </c>
      <c r="G357" s="240" t="s">
        <v>2039</v>
      </c>
      <c r="H357" s="33"/>
      <c r="I357" s="399"/>
      <c r="J357" s="399"/>
      <c r="K357" s="399">
        <v>-29.54</v>
      </c>
      <c r="L357" s="396">
        <f t="shared" si="26"/>
        <v>-29.54</v>
      </c>
      <c r="M357" s="396">
        <f t="shared" si="25"/>
        <v>7637.8499999999876</v>
      </c>
      <c r="N357" s="18" t="s">
        <v>49</v>
      </c>
      <c r="Q357" s="30" t="s">
        <v>2073</v>
      </c>
      <c r="R357" s="30"/>
      <c r="S357" s="30"/>
      <c r="T357"/>
      <c r="U357"/>
      <c r="V357"/>
      <c r="X357"/>
    </row>
    <row r="358" spans="1:29" x14ac:dyDescent="0.3">
      <c r="A358" s="15"/>
      <c r="B358" s="363">
        <v>44915</v>
      </c>
      <c r="C358" s="105" t="s">
        <v>492</v>
      </c>
      <c r="D358" s="4" t="s">
        <v>2046</v>
      </c>
      <c r="E358" s="133" t="s">
        <v>12</v>
      </c>
      <c r="F358" s="269" t="s">
        <v>1802</v>
      </c>
      <c r="G358" s="240" t="s">
        <v>2039</v>
      </c>
      <c r="H358" s="264"/>
      <c r="I358" s="399"/>
      <c r="J358" s="399"/>
      <c r="K358" s="399">
        <v>-66.12</v>
      </c>
      <c r="L358" s="396">
        <f t="shared" si="26"/>
        <v>-66.12</v>
      </c>
      <c r="M358" s="396">
        <f t="shared" si="25"/>
        <v>7571.7299999999877</v>
      </c>
      <c r="N358" s="18" t="s">
        <v>49</v>
      </c>
      <c r="Q358"/>
      <c r="R358"/>
      <c r="S358"/>
      <c r="T358"/>
      <c r="U358"/>
      <c r="V358"/>
      <c r="X358"/>
      <c r="Z358">
        <v>985617243</v>
      </c>
      <c r="AA358" s="15" t="s">
        <v>2075</v>
      </c>
      <c r="AC358" s="15">
        <v>131.34</v>
      </c>
    </row>
    <row r="359" spans="1:29" x14ac:dyDescent="0.3">
      <c r="A359" s="12"/>
      <c r="B359" s="360">
        <v>44902</v>
      </c>
      <c r="C359" s="105" t="s">
        <v>492</v>
      </c>
      <c r="D359" s="4" t="s">
        <v>48</v>
      </c>
      <c r="E359" s="133" t="s">
        <v>12</v>
      </c>
      <c r="F359" s="269" t="s">
        <v>1802</v>
      </c>
      <c r="G359" s="240" t="s">
        <v>2039</v>
      </c>
      <c r="H359" s="264"/>
      <c r="I359" s="399"/>
      <c r="J359" s="399"/>
      <c r="K359" s="399">
        <v>-72.42</v>
      </c>
      <c r="L359" s="396">
        <f t="shared" si="26"/>
        <v>-72.42</v>
      </c>
      <c r="M359" s="396">
        <f t="shared" si="25"/>
        <v>7499.3099999999877</v>
      </c>
      <c r="N359" s="18" t="s">
        <v>327</v>
      </c>
      <c r="Q359" t="s">
        <v>584</v>
      </c>
      <c r="R359"/>
      <c r="S359"/>
      <c r="T359"/>
      <c r="U359"/>
      <c r="V359" s="396">
        <v>6666.2</v>
      </c>
      <c r="X359"/>
      <c r="Z359">
        <v>985617244</v>
      </c>
      <c r="AA359" s="15" t="s">
        <v>2076</v>
      </c>
      <c r="AC359" s="15">
        <v>152.38</v>
      </c>
    </row>
    <row r="360" spans="1:29" x14ac:dyDescent="0.3">
      <c r="A360" s="12"/>
      <c r="C360" s="105" t="s">
        <v>492</v>
      </c>
      <c r="D360" s="4" t="s">
        <v>58</v>
      </c>
      <c r="E360" s="133" t="s">
        <v>9</v>
      </c>
      <c r="F360" s="269" t="s">
        <v>491</v>
      </c>
      <c r="G360" s="240" t="s">
        <v>2039</v>
      </c>
      <c r="H360" s="264"/>
      <c r="I360" s="399"/>
      <c r="J360" s="399"/>
      <c r="K360" s="399">
        <v>-369.7</v>
      </c>
      <c r="L360" s="396">
        <f t="shared" si="26"/>
        <v>-369.7</v>
      </c>
      <c r="M360" s="396">
        <f t="shared" si="25"/>
        <v>7129.6099999999878</v>
      </c>
      <c r="N360" s="18" t="s">
        <v>327</v>
      </c>
      <c r="Q360" t="s">
        <v>586</v>
      </c>
      <c r="R360"/>
      <c r="S360"/>
      <c r="T360"/>
      <c r="U360"/>
      <c r="V360" s="396"/>
      <c r="X360"/>
      <c r="Z360">
        <v>985617245</v>
      </c>
      <c r="AA360" s="15" t="s">
        <v>2077</v>
      </c>
      <c r="AC360" s="15">
        <v>86.98</v>
      </c>
    </row>
    <row r="361" spans="1:29" x14ac:dyDescent="0.3">
      <c r="A361" s="12"/>
      <c r="B361" s="360">
        <v>44925</v>
      </c>
      <c r="C361" s="105" t="s">
        <v>492</v>
      </c>
      <c r="D361" s="4" t="s">
        <v>58</v>
      </c>
      <c r="E361" s="133" t="s">
        <v>8</v>
      </c>
      <c r="F361" s="269" t="s">
        <v>491</v>
      </c>
      <c r="G361" s="240" t="s">
        <v>2039</v>
      </c>
      <c r="H361" s="264"/>
      <c r="I361" s="399"/>
      <c r="J361" s="399"/>
      <c r="K361" s="399">
        <v>-300.11</v>
      </c>
      <c r="L361" s="396">
        <f t="shared" si="26"/>
        <v>-300.11</v>
      </c>
      <c r="M361" s="396">
        <f t="shared" si="25"/>
        <v>6829.4999999999882</v>
      </c>
      <c r="N361" s="18" t="s">
        <v>327</v>
      </c>
      <c r="Q361"/>
      <c r="R361"/>
      <c r="S361"/>
      <c r="T361"/>
      <c r="U361"/>
      <c r="V361" s="396"/>
      <c r="X361"/>
    </row>
    <row r="362" spans="1:29" x14ac:dyDescent="0.3">
      <c r="A362" s="12"/>
      <c r="B362" s="360">
        <v>44896</v>
      </c>
      <c r="C362" s="105" t="s">
        <v>492</v>
      </c>
      <c r="D362" s="4" t="s">
        <v>670</v>
      </c>
      <c r="E362" s="133" t="s">
        <v>513</v>
      </c>
      <c r="F362" s="120" t="s">
        <v>2057</v>
      </c>
      <c r="G362" s="240" t="s">
        <v>2039</v>
      </c>
      <c r="H362" s="33"/>
      <c r="I362" s="399">
        <v>60</v>
      </c>
      <c r="J362" s="399"/>
      <c r="K362" s="399"/>
      <c r="L362" s="396">
        <f t="shared" si="26"/>
        <v>60</v>
      </c>
      <c r="M362" s="396">
        <f t="shared" si="25"/>
        <v>6889.4999999999882</v>
      </c>
      <c r="Q362" s="15" t="s">
        <v>2080</v>
      </c>
      <c r="R362"/>
      <c r="S362"/>
      <c r="T362" s="396">
        <v>-369.7</v>
      </c>
      <c r="U362"/>
      <c r="V362" s="396"/>
      <c r="X362"/>
      <c r="Z362">
        <v>969809253</v>
      </c>
      <c r="AA362" s="15" t="s">
        <v>2078</v>
      </c>
      <c r="AC362" s="58">
        <v>120.42</v>
      </c>
    </row>
    <row r="363" spans="1:29" x14ac:dyDescent="0.3">
      <c r="A363" s="12"/>
      <c r="B363" s="360">
        <v>44917</v>
      </c>
      <c r="C363" s="105" t="s">
        <v>492</v>
      </c>
      <c r="D363" s="11" t="s">
        <v>1790</v>
      </c>
      <c r="E363" s="394" t="s">
        <v>518</v>
      </c>
      <c r="F363" s="269" t="s">
        <v>2105</v>
      </c>
      <c r="G363" s="240" t="s">
        <v>2039</v>
      </c>
      <c r="H363" s="264"/>
      <c r="I363" s="399"/>
      <c r="J363" s="399"/>
      <c r="K363" s="399">
        <v>-155</v>
      </c>
      <c r="L363" s="396">
        <f t="shared" si="26"/>
        <v>-155</v>
      </c>
      <c r="M363" s="396">
        <f t="shared" si="25"/>
        <v>6734.4999999999882</v>
      </c>
      <c r="N363" s="18" t="s">
        <v>2236</v>
      </c>
      <c r="Q363" s="15" t="s">
        <v>2089</v>
      </c>
      <c r="R363"/>
      <c r="S363"/>
      <c r="T363" s="396">
        <v>-50</v>
      </c>
      <c r="U363"/>
      <c r="V363" s="396"/>
      <c r="X363"/>
      <c r="Z363">
        <v>969809254</v>
      </c>
      <c r="AA363" s="15" t="s">
        <v>2079</v>
      </c>
      <c r="AC363" s="58">
        <v>179.69</v>
      </c>
    </row>
    <row r="364" spans="1:29" x14ac:dyDescent="0.3">
      <c r="A364" s="12"/>
      <c r="B364" s="360">
        <v>44917</v>
      </c>
      <c r="C364" s="105" t="s">
        <v>492</v>
      </c>
      <c r="D364" s="11" t="s">
        <v>1902</v>
      </c>
      <c r="E364" s="112" t="s">
        <v>518</v>
      </c>
      <c r="F364" s="33" t="s">
        <v>1551</v>
      </c>
      <c r="G364" s="240" t="s">
        <v>2039</v>
      </c>
      <c r="H364" s="210"/>
      <c r="I364" s="399"/>
      <c r="J364" s="399"/>
      <c r="K364" s="399">
        <v>-50</v>
      </c>
      <c r="L364" s="396">
        <f t="shared" si="26"/>
        <v>-50</v>
      </c>
      <c r="M364" s="396">
        <f t="shared" si="25"/>
        <v>6684.4999999999882</v>
      </c>
      <c r="N364" s="18" t="s">
        <v>2236</v>
      </c>
      <c r="Q364" s="15" t="s">
        <v>2102</v>
      </c>
      <c r="R364"/>
      <c r="S364"/>
      <c r="T364" s="396">
        <v>-50</v>
      </c>
      <c r="U364"/>
      <c r="V364" s="396"/>
      <c r="X364"/>
    </row>
    <row r="365" spans="1:29" x14ac:dyDescent="0.3">
      <c r="A365" s="12"/>
      <c r="B365" s="360">
        <v>44897</v>
      </c>
      <c r="C365" s="105" t="s">
        <v>492</v>
      </c>
      <c r="D365" s="4" t="s">
        <v>1845</v>
      </c>
      <c r="E365" s="133" t="s">
        <v>621</v>
      </c>
      <c r="F365" s="120" t="s">
        <v>2074</v>
      </c>
      <c r="G365" s="240" t="s">
        <v>2039</v>
      </c>
      <c r="H365" s="264"/>
      <c r="I365" s="399"/>
      <c r="J365" s="399"/>
      <c r="K365" s="399">
        <v>-250</v>
      </c>
      <c r="L365" s="396">
        <f t="shared" si="26"/>
        <v>-250</v>
      </c>
      <c r="M365" s="396">
        <f t="shared" si="25"/>
        <v>6434.4999999999882</v>
      </c>
      <c r="N365" s="18" t="s">
        <v>2257</v>
      </c>
      <c r="Q365" s="4" t="s">
        <v>1544</v>
      </c>
      <c r="R365"/>
      <c r="S365"/>
      <c r="T365" s="396">
        <v>-360</v>
      </c>
      <c r="U365"/>
      <c r="V365" s="396"/>
      <c r="X365"/>
    </row>
    <row r="366" spans="1:29" x14ac:dyDescent="0.3">
      <c r="A366" s="12"/>
      <c r="B366" s="360">
        <v>44926</v>
      </c>
      <c r="C366" s="105" t="s">
        <v>492</v>
      </c>
      <c r="D366" s="4" t="s">
        <v>1544</v>
      </c>
      <c r="E366" s="132" t="s">
        <v>12</v>
      </c>
      <c r="F366" s="269" t="s">
        <v>937</v>
      </c>
      <c r="G366" s="240" t="s">
        <v>2039</v>
      </c>
      <c r="H366" s="264"/>
      <c r="I366" s="399"/>
      <c r="J366" s="399"/>
      <c r="K366" s="399">
        <v>-360</v>
      </c>
      <c r="L366" s="396">
        <f t="shared" si="26"/>
        <v>-360</v>
      </c>
      <c r="M366" s="396">
        <f t="shared" si="25"/>
        <v>6074.4999999999882</v>
      </c>
      <c r="N366" s="18" t="s">
        <v>2247</v>
      </c>
      <c r="O366"/>
      <c r="Q366" s="11" t="s">
        <v>1988</v>
      </c>
      <c r="R366" s="15"/>
      <c r="S366" s="11"/>
      <c r="T366" s="396">
        <v>-50</v>
      </c>
      <c r="U366"/>
      <c r="V366" s="396"/>
      <c r="X366"/>
    </row>
    <row r="367" spans="1:29" x14ac:dyDescent="0.3">
      <c r="A367" s="12"/>
      <c r="B367" s="360">
        <v>44924</v>
      </c>
      <c r="C367" s="105" t="s">
        <v>492</v>
      </c>
      <c r="D367" s="11" t="s">
        <v>392</v>
      </c>
      <c r="E367" s="112" t="s">
        <v>518</v>
      </c>
      <c r="F367" s="269" t="s">
        <v>2081</v>
      </c>
      <c r="G367" s="240" t="s">
        <v>2039</v>
      </c>
      <c r="H367" s="264"/>
      <c r="I367" s="399"/>
      <c r="J367" s="399"/>
      <c r="K367" s="399">
        <v>-138</v>
      </c>
      <c r="L367" s="396">
        <f t="shared" si="26"/>
        <v>-138</v>
      </c>
      <c r="M367" s="396">
        <f>M366+L367</f>
        <v>5936.4999999999882</v>
      </c>
      <c r="N367" s="18" t="s">
        <v>2248</v>
      </c>
      <c r="Q367"/>
      <c r="R367"/>
      <c r="S367"/>
      <c r="T367" s="125"/>
      <c r="U367"/>
      <c r="V367" s="396"/>
    </row>
    <row r="368" spans="1:29" x14ac:dyDescent="0.3">
      <c r="A368" s="12"/>
      <c r="B368" s="360">
        <v>44926</v>
      </c>
      <c r="C368" s="105" t="s">
        <v>492</v>
      </c>
      <c r="D368" s="4" t="s">
        <v>1988</v>
      </c>
      <c r="E368" s="112" t="s">
        <v>504</v>
      </c>
      <c r="F368" s="1" t="s">
        <v>2087</v>
      </c>
      <c r="G368" s="240" t="s">
        <v>2039</v>
      </c>
      <c r="H368" s="264"/>
      <c r="I368" s="396"/>
      <c r="J368" s="396"/>
      <c r="K368" s="396">
        <v>-50</v>
      </c>
      <c r="L368" s="396">
        <f t="shared" si="26"/>
        <v>-50</v>
      </c>
      <c r="M368" s="396">
        <f>M367+L368</f>
        <v>5886.4999999999882</v>
      </c>
      <c r="O368"/>
      <c r="Q368"/>
      <c r="R368"/>
      <c r="S368"/>
      <c r="T368" s="4"/>
      <c r="U368"/>
      <c r="V368" s="396">
        <f>SUM(T360:T367)</f>
        <v>-879.7</v>
      </c>
      <c r="Y368" s="11"/>
      <c r="Z368" s="11"/>
    </row>
    <row r="369" spans="1:26" x14ac:dyDescent="0.3">
      <c r="A369" s="29"/>
      <c r="B369" s="362">
        <v>44928</v>
      </c>
      <c r="C369" s="105" t="s">
        <v>492</v>
      </c>
      <c r="D369" s="4" t="s">
        <v>1964</v>
      </c>
      <c r="E369" s="112" t="s">
        <v>504</v>
      </c>
      <c r="F369" s="1" t="s">
        <v>2088</v>
      </c>
      <c r="G369" s="240" t="s">
        <v>2039</v>
      </c>
      <c r="H369" s="33"/>
      <c r="I369" s="396"/>
      <c r="J369" s="396"/>
      <c r="K369" s="396">
        <v>-50</v>
      </c>
      <c r="L369" s="396">
        <f t="shared" si="26"/>
        <v>-50</v>
      </c>
      <c r="M369" s="396">
        <f>M368+L369</f>
        <v>5836.4999999999882</v>
      </c>
      <c r="O369"/>
      <c r="Q369" t="s">
        <v>1215</v>
      </c>
      <c r="R369"/>
      <c r="S369"/>
      <c r="T369" s="4"/>
      <c r="U369"/>
      <c r="V369" s="397">
        <f>V359+V368</f>
        <v>5786.5</v>
      </c>
      <c r="X369" t="s">
        <v>588</v>
      </c>
      <c r="Y369" s="11"/>
      <c r="Z369" s="11"/>
    </row>
    <row r="370" spans="1:26" x14ac:dyDescent="0.3">
      <c r="A370" s="29"/>
      <c r="B370" s="362">
        <v>44563</v>
      </c>
      <c r="C370" s="105" t="s">
        <v>492</v>
      </c>
      <c r="D370" s="128" t="s">
        <v>2051</v>
      </c>
      <c r="E370" s="112" t="s">
        <v>504</v>
      </c>
      <c r="F370" s="13" t="s">
        <v>2101</v>
      </c>
      <c r="G370" s="240"/>
      <c r="H370" s="33"/>
      <c r="I370" s="396"/>
      <c r="J370" s="396"/>
      <c r="K370" s="396">
        <v>-50</v>
      </c>
      <c r="L370" s="396">
        <f>I370+K370</f>
        <v>-50</v>
      </c>
      <c r="M370" s="396">
        <f>M369+L370</f>
        <v>5786.4999999999882</v>
      </c>
      <c r="O370"/>
      <c r="Q370"/>
      <c r="R370"/>
      <c r="S370"/>
      <c r="T370" s="4"/>
      <c r="U370"/>
      <c r="V370" s="396">
        <f>V369-M370</f>
        <v>1.1823431123048067E-11</v>
      </c>
      <c r="X370"/>
      <c r="Y370" s="11"/>
      <c r="Z370" s="11"/>
    </row>
    <row r="371" spans="1:26" ht="12.5" x14ac:dyDescent="0.25">
      <c r="A371" s="12"/>
      <c r="C371" s="29"/>
      <c r="D371" s="11"/>
      <c r="E371" s="11"/>
      <c r="F371" s="33"/>
      <c r="G371" s="240" t="s">
        <v>2039</v>
      </c>
      <c r="H371" s="33"/>
      <c r="I371" s="42"/>
      <c r="J371" s="42"/>
      <c r="K371" s="42"/>
      <c r="N371" s="4"/>
      <c r="O371" s="62"/>
      <c r="P371" s="11"/>
      <c r="Q371" s="13"/>
      <c r="S371" s="11"/>
      <c r="T371" s="11"/>
      <c r="U371" s="11"/>
      <c r="V371" s="11"/>
      <c r="W371" s="11"/>
      <c r="X371" s="11"/>
      <c r="Y371" s="11"/>
      <c r="Z371" s="11"/>
    </row>
    <row r="372" spans="1:26" ht="13.5" thickBot="1" x14ac:dyDescent="0.35">
      <c r="A372" s="12"/>
      <c r="C372" s="29"/>
      <c r="D372" s="11"/>
      <c r="E372" s="27"/>
      <c r="F372" s="33"/>
      <c r="G372" s="240" t="s">
        <v>2039</v>
      </c>
      <c r="H372" s="33">
        <f>+M44</f>
        <v>0</v>
      </c>
      <c r="I372" s="173"/>
      <c r="J372" s="173">
        <f>SUM(J1:J371)</f>
        <v>2106</v>
      </c>
      <c r="K372" s="173">
        <v>-46627.639999999992</v>
      </c>
      <c r="L372" s="173">
        <f>I372+K372</f>
        <v>-46627.639999999992</v>
      </c>
      <c r="S372" s="11"/>
      <c r="T372" s="11"/>
      <c r="U372" s="11"/>
      <c r="V372" s="11"/>
      <c r="W372" s="11"/>
      <c r="X372" s="11"/>
      <c r="Y372" s="11"/>
      <c r="Z372" s="11"/>
    </row>
    <row r="373" spans="1:26" ht="13.5" thickTop="1" x14ac:dyDescent="0.3">
      <c r="A373" s="12"/>
      <c r="C373" s="59"/>
      <c r="D373" s="11"/>
      <c r="E373" s="27"/>
      <c r="F373" s="33"/>
      <c r="G373" s="240" t="s">
        <v>2039</v>
      </c>
      <c r="H373" s="33"/>
      <c r="I373" s="42"/>
      <c r="J373" s="42"/>
      <c r="K373" s="42"/>
      <c r="L373" s="43">
        <f>I373+K373</f>
        <v>0</v>
      </c>
      <c r="S373" s="11"/>
      <c r="T373" s="11"/>
      <c r="U373" s="11"/>
      <c r="V373" s="11"/>
      <c r="W373" s="11"/>
      <c r="X373" s="11"/>
      <c r="Y373" s="11"/>
      <c r="Z373" s="11"/>
    </row>
    <row r="374" spans="1:26" x14ac:dyDescent="0.3">
      <c r="A374" s="12"/>
      <c r="C374" s="255"/>
      <c r="D374" s="11"/>
      <c r="E374" s="27"/>
      <c r="F374" s="33"/>
      <c r="G374" s="27"/>
      <c r="H374" s="33"/>
      <c r="I374" s="42"/>
      <c r="J374" s="42"/>
      <c r="K374" s="42"/>
      <c r="S374" s="11"/>
      <c r="T374" s="11"/>
      <c r="U374" s="11"/>
      <c r="V374" s="11"/>
      <c r="W374" s="11"/>
      <c r="X374" s="11"/>
      <c r="Y374" s="11"/>
      <c r="Z374" s="11"/>
    </row>
    <row r="375" spans="1:26" x14ac:dyDescent="0.3">
      <c r="A375" s="12"/>
      <c r="C375" s="29"/>
      <c r="D375" s="11" t="s">
        <v>110</v>
      </c>
      <c r="E375" s="27"/>
      <c r="F375" s="33"/>
      <c r="G375" s="27"/>
      <c r="H375" s="33"/>
      <c r="I375" s="42"/>
      <c r="J375" s="42"/>
      <c r="K375" s="42"/>
      <c r="S375" s="11"/>
      <c r="T375" s="11"/>
      <c r="U375" s="11"/>
      <c r="V375" s="11"/>
      <c r="W375" s="11"/>
      <c r="X375" s="11"/>
      <c r="Y375" s="11"/>
      <c r="Z375" s="11"/>
    </row>
    <row r="376" spans="1:26" x14ac:dyDescent="0.3">
      <c r="A376" s="26"/>
      <c r="C376" s="29"/>
      <c r="D376" s="11" t="s">
        <v>111</v>
      </c>
      <c r="E376" s="27"/>
      <c r="G376" s="11"/>
      <c r="L376" s="254" t="s">
        <v>1273</v>
      </c>
      <c r="M376" s="43">
        <f>SUM(L375:L376)</f>
        <v>0</v>
      </c>
      <c r="P376" s="213"/>
      <c r="Q376"/>
      <c r="S376" s="11"/>
      <c r="T376" s="11"/>
      <c r="U376" s="11"/>
      <c r="V376" s="11"/>
      <c r="W376" s="11"/>
      <c r="X376" s="11"/>
      <c r="Y376" s="11"/>
      <c r="Z376" s="11"/>
    </row>
    <row r="377" spans="1:26" x14ac:dyDescent="0.3">
      <c r="A377" s="26"/>
      <c r="C377" s="29"/>
      <c r="D377" s="11"/>
      <c r="E377" s="27"/>
      <c r="G377" s="11"/>
      <c r="P377" s="213"/>
      <c r="Q377"/>
      <c r="R377" s="261"/>
      <c r="S377"/>
      <c r="T377" s="261"/>
      <c r="U377" s="261"/>
      <c r="V377" s="262"/>
    </row>
    <row r="378" spans="1:26" x14ac:dyDescent="0.3">
      <c r="A378" s="26"/>
      <c r="C378" s="29"/>
      <c r="D378" s="4" t="s">
        <v>1284</v>
      </c>
      <c r="E378" s="27"/>
      <c r="G378" s="11"/>
      <c r="P378" s="213"/>
      <c r="Q378"/>
      <c r="R378" s="261"/>
      <c r="S378"/>
      <c r="T378" s="261"/>
      <c r="U378" s="261"/>
      <c r="V378" s="262"/>
    </row>
    <row r="379" spans="1:26" x14ac:dyDescent="0.3">
      <c r="A379" s="26"/>
      <c r="C379" s="29"/>
      <c r="D379"/>
      <c r="E379"/>
      <c r="F379" s="4"/>
      <c r="P379" s="213"/>
      <c r="Q379"/>
      <c r="R379" s="261"/>
      <c r="S379"/>
      <c r="T379" s="261"/>
      <c r="U379" s="261"/>
    </row>
    <row r="380" spans="1:26" ht="13.5" thickBot="1" x14ac:dyDescent="0.35">
      <c r="A380" s="26"/>
      <c r="C380" s="29"/>
      <c r="D380" s="11"/>
      <c r="E380" s="52"/>
    </row>
    <row r="381" spans="1:26" ht="13.5" thickBot="1" x14ac:dyDescent="0.35">
      <c r="A381" s="12"/>
      <c r="C381" s="29"/>
      <c r="D381" s="74" t="s">
        <v>1270</v>
      </c>
      <c r="E381" s="27"/>
      <c r="G381" s="11"/>
      <c r="M381" s="256">
        <f>SUM(M375:M380)</f>
        <v>0</v>
      </c>
    </row>
    <row r="382" spans="1:26" ht="13.5" thickTop="1" x14ac:dyDescent="0.3">
      <c r="A382" s="12"/>
      <c r="C382" s="29"/>
      <c r="D382" s="11"/>
      <c r="E382" s="27"/>
      <c r="G382" s="11"/>
    </row>
    <row r="383" spans="1:26" x14ac:dyDescent="0.3">
      <c r="B383" s="396"/>
      <c r="C383" s="396"/>
      <c r="D383" s="11"/>
      <c r="E383" s="27"/>
      <c r="G383" s="11"/>
    </row>
    <row r="384" spans="1:26" x14ac:dyDescent="0.3">
      <c r="A384" s="24" t="s">
        <v>1785</v>
      </c>
      <c r="B384" s="364"/>
      <c r="C384" s="257"/>
      <c r="D384" s="11"/>
      <c r="E384" s="27"/>
      <c r="G384" s="11"/>
    </row>
    <row r="385" spans="1:14" x14ac:dyDescent="0.3">
      <c r="A385" s="12"/>
      <c r="C385" s="257" t="s">
        <v>1970</v>
      </c>
      <c r="E385" s="52"/>
    </row>
    <row r="386" spans="1:14" x14ac:dyDescent="0.3">
      <c r="A386" s="12"/>
      <c r="C386" s="59"/>
      <c r="D386" s="257"/>
      <c r="E386" s="4"/>
      <c r="J386" s="254"/>
    </row>
    <row r="387" spans="1:14" x14ac:dyDescent="0.3">
      <c r="A387" s="12"/>
      <c r="C387" s="59"/>
      <c r="D387" s="257"/>
      <c r="E387" s="4"/>
      <c r="J387" s="254"/>
    </row>
    <row r="388" spans="1:14" x14ac:dyDescent="0.3">
      <c r="A388" s="12"/>
      <c r="C388" s="59"/>
      <c r="D388" s="106" t="s">
        <v>489</v>
      </c>
      <c r="E388" s="4" t="s">
        <v>1591</v>
      </c>
      <c r="H388" s="13">
        <v>50</v>
      </c>
      <c r="J388" s="254" t="s">
        <v>1972</v>
      </c>
    </row>
    <row r="389" spans="1:14" x14ac:dyDescent="0.3">
      <c r="A389" s="12"/>
      <c r="C389" s="59"/>
      <c r="D389" s="105" t="s">
        <v>400</v>
      </c>
      <c r="E389" s="4" t="s">
        <v>1642</v>
      </c>
      <c r="H389" s="13">
        <v>50</v>
      </c>
      <c r="J389" s="254" t="s">
        <v>1972</v>
      </c>
      <c r="K389" s="1"/>
      <c r="L389"/>
      <c r="M389" s="1"/>
    </row>
    <row r="390" spans="1:14" x14ac:dyDescent="0.3">
      <c r="A390" s="12"/>
      <c r="C390" s="59"/>
      <c r="D390" s="105" t="s">
        <v>400</v>
      </c>
      <c r="E390" s="4" t="s">
        <v>1655</v>
      </c>
      <c r="H390" s="13">
        <v>50</v>
      </c>
      <c r="J390" s="254" t="s">
        <v>1972</v>
      </c>
    </row>
    <row r="391" spans="1:14" ht="17.25" customHeight="1" x14ac:dyDescent="0.3">
      <c r="A391" s="12"/>
      <c r="C391" s="59"/>
      <c r="D391" s="131" t="s">
        <v>491</v>
      </c>
      <c r="E391" s="4" t="s">
        <v>1713</v>
      </c>
      <c r="H391" s="13">
        <v>50</v>
      </c>
      <c r="J391" s="254" t="s">
        <v>1972</v>
      </c>
    </row>
    <row r="392" spans="1:14" x14ac:dyDescent="0.3">
      <c r="A392" s="12"/>
      <c r="C392" s="59"/>
      <c r="D392" s="131" t="s">
        <v>745</v>
      </c>
      <c r="E392" s="4" t="s">
        <v>2033</v>
      </c>
      <c r="H392" s="13">
        <v>150</v>
      </c>
      <c r="J392" s="254" t="s">
        <v>2034</v>
      </c>
    </row>
    <row r="393" spans="1:14" x14ac:dyDescent="0.3">
      <c r="A393" s="12"/>
      <c r="C393" s="59"/>
      <c r="D393" s="131" t="s">
        <v>2019</v>
      </c>
      <c r="E393" s="4" t="s">
        <v>1966</v>
      </c>
      <c r="H393" s="13">
        <v>50</v>
      </c>
      <c r="J393" s="254" t="s">
        <v>1973</v>
      </c>
    </row>
    <row r="394" spans="1:14" x14ac:dyDescent="0.3">
      <c r="A394" s="12"/>
      <c r="C394" s="59"/>
      <c r="D394" s="131" t="s">
        <v>2020</v>
      </c>
      <c r="E394" s="4" t="s">
        <v>1962</v>
      </c>
      <c r="H394" s="13">
        <f>50-50</f>
        <v>0</v>
      </c>
      <c r="J394" s="254" t="s">
        <v>1975</v>
      </c>
      <c r="M394" s="43" t="s">
        <v>2035</v>
      </c>
    </row>
    <row r="395" spans="1:14" x14ac:dyDescent="0.3">
      <c r="C395" s="59"/>
      <c r="D395" s="131" t="s">
        <v>2020</v>
      </c>
      <c r="E395" s="4" t="s">
        <v>1964</v>
      </c>
      <c r="F395" s="120"/>
      <c r="G395" s="27"/>
      <c r="H395" s="1">
        <f>50-50</f>
        <v>0</v>
      </c>
      <c r="I395" s="42"/>
      <c r="J395" s="254" t="s">
        <v>1974</v>
      </c>
    </row>
    <row r="396" spans="1:14" x14ac:dyDescent="0.3">
      <c r="C396" s="283"/>
      <c r="D396" s="131" t="s">
        <v>2021</v>
      </c>
      <c r="E396" s="4" t="s">
        <v>1988</v>
      </c>
      <c r="F396" s="120"/>
      <c r="G396" s="27"/>
      <c r="H396" s="1">
        <f>50-50</f>
        <v>0</v>
      </c>
      <c r="I396" s="42"/>
      <c r="J396" s="43" t="s">
        <v>2031</v>
      </c>
      <c r="M396" s="43" t="s">
        <v>2103</v>
      </c>
    </row>
    <row r="397" spans="1:14" x14ac:dyDescent="0.3">
      <c r="C397" s="283"/>
      <c r="D397" s="131" t="s">
        <v>2022</v>
      </c>
      <c r="E397" s="1" t="s">
        <v>2010</v>
      </c>
      <c r="F397" s="43"/>
      <c r="G397" s="43"/>
      <c r="H397" s="210">
        <f>50-50</f>
        <v>0</v>
      </c>
      <c r="J397" s="43" t="s">
        <v>2038</v>
      </c>
      <c r="M397" s="43" t="s">
        <v>2035</v>
      </c>
    </row>
    <row r="398" spans="1:14" x14ac:dyDescent="0.3">
      <c r="C398" s="29"/>
      <c r="D398" s="105" t="s">
        <v>2026</v>
      </c>
      <c r="E398" s="4" t="s">
        <v>2023</v>
      </c>
      <c r="F398" s="120"/>
      <c r="G398" s="27"/>
      <c r="H398" s="210">
        <f>50-50</f>
        <v>0</v>
      </c>
      <c r="I398" s="42"/>
      <c r="J398" s="43" t="s">
        <v>2024</v>
      </c>
      <c r="M398" s="43" t="s">
        <v>2035</v>
      </c>
    </row>
    <row r="399" spans="1:14" x14ac:dyDescent="0.3">
      <c r="C399" s="284"/>
      <c r="D399" s="105" t="s">
        <v>2021</v>
      </c>
      <c r="E399" s="4" t="s">
        <v>2045</v>
      </c>
      <c r="F399" s="120"/>
      <c r="G399" s="27"/>
      <c r="H399" s="210">
        <v>150</v>
      </c>
      <c r="I399" s="42"/>
      <c r="J399" s="43" t="s">
        <v>2049</v>
      </c>
      <c r="N399" s="186"/>
    </row>
    <row r="400" spans="1:14" x14ac:dyDescent="0.3">
      <c r="C400" s="284"/>
      <c r="D400" s="105" t="s">
        <v>2026</v>
      </c>
      <c r="E400" s="128" t="s">
        <v>907</v>
      </c>
      <c r="F400" s="120"/>
      <c r="G400" s="27"/>
      <c r="H400" s="210">
        <v>50</v>
      </c>
      <c r="I400" s="42"/>
      <c r="J400" s="43" t="s">
        <v>2050</v>
      </c>
    </row>
    <row r="401" spans="1:26" x14ac:dyDescent="0.3">
      <c r="C401" s="284"/>
      <c r="D401" s="105" t="s">
        <v>2026</v>
      </c>
      <c r="E401" s="128" t="s">
        <v>2051</v>
      </c>
      <c r="F401" s="120"/>
      <c r="G401" s="27"/>
      <c r="H401" s="1">
        <f>50-50</f>
        <v>0</v>
      </c>
      <c r="I401" s="42"/>
      <c r="J401" s="43" t="s">
        <v>2053</v>
      </c>
    </row>
    <row r="402" spans="1:26" x14ac:dyDescent="0.3">
      <c r="C402" s="284"/>
      <c r="D402" s="105" t="s">
        <v>2108</v>
      </c>
      <c r="E402" s="128" t="s">
        <v>2109</v>
      </c>
      <c r="F402" s="120"/>
      <c r="G402" s="27"/>
      <c r="H402" s="1">
        <v>50</v>
      </c>
      <c r="I402" s="42"/>
      <c r="J402" s="43" t="s">
        <v>2107</v>
      </c>
    </row>
    <row r="403" spans="1:26" x14ac:dyDescent="0.3">
      <c r="C403" s="284"/>
      <c r="D403" s="105"/>
      <c r="E403" s="128"/>
      <c r="F403" s="120"/>
      <c r="G403" s="27"/>
      <c r="H403" s="210"/>
      <c r="I403" s="42"/>
    </row>
    <row r="404" spans="1:26" x14ac:dyDescent="0.3">
      <c r="C404" s="284"/>
      <c r="D404" s="105"/>
      <c r="E404" s="128"/>
      <c r="F404" s="120"/>
      <c r="G404" s="27"/>
      <c r="H404" s="210"/>
      <c r="I404" s="42"/>
    </row>
    <row r="405" spans="1:26" x14ac:dyDescent="0.3">
      <c r="C405" s="29"/>
      <c r="D405" s="128"/>
      <c r="E405" s="128"/>
      <c r="F405" s="120"/>
      <c r="G405" s="52"/>
      <c r="H405" s="210"/>
      <c r="I405" s="42"/>
    </row>
    <row r="406" spans="1:26" s="43" customFormat="1" x14ac:dyDescent="0.3">
      <c r="A406" s="39"/>
      <c r="B406" s="360"/>
      <c r="C406" s="29"/>
      <c r="D406" s="128"/>
      <c r="E406" s="258" t="s">
        <v>1274</v>
      </c>
      <c r="F406" s="13"/>
      <c r="G406" s="15"/>
      <c r="H406" s="13">
        <f>SUM(H388:H404)</f>
        <v>650</v>
      </c>
      <c r="I406" s="75"/>
      <c r="N406" s="18"/>
      <c r="O406" s="15"/>
      <c r="P406" s="16"/>
      <c r="Q406" s="15"/>
      <c r="R406" s="11"/>
      <c r="S406" s="15"/>
      <c r="T406" s="15"/>
      <c r="U406" s="15"/>
      <c r="V406" s="15"/>
      <c r="W406" s="15"/>
      <c r="X406" s="15"/>
      <c r="Y406" s="15"/>
      <c r="Z406" s="15"/>
    </row>
    <row r="407" spans="1:26" s="43" customFormat="1" x14ac:dyDescent="0.3">
      <c r="A407" s="39"/>
      <c r="B407" s="360"/>
      <c r="C407" s="257"/>
      <c r="D407" s="128"/>
      <c r="E407" s="128"/>
      <c r="F407" s="120"/>
      <c r="G407" s="52"/>
      <c r="H407" s="210">
        <f>'ACCOUNTS 22'!J51+H406</f>
        <v>0</v>
      </c>
      <c r="I407" s="42"/>
      <c r="N407" s="18"/>
      <c r="O407" s="15"/>
      <c r="P407" s="16"/>
      <c r="Q407" s="15"/>
      <c r="R407" s="11"/>
      <c r="S407" s="15"/>
      <c r="T407" s="15"/>
      <c r="U407" s="15"/>
      <c r="V407" s="15"/>
      <c r="W407" s="15"/>
      <c r="X407" s="15"/>
      <c r="Y407" s="15"/>
      <c r="Z407" s="15"/>
    </row>
    <row r="408" spans="1:26" s="43" customFormat="1" x14ac:dyDescent="0.3">
      <c r="A408" s="39"/>
      <c r="B408" s="360"/>
      <c r="C408" s="257"/>
      <c r="D408" s="128"/>
      <c r="E408" s="27"/>
      <c r="F408" s="120"/>
      <c r="G408" s="52"/>
      <c r="H408" s="210"/>
      <c r="I408" s="42"/>
      <c r="N408" s="18"/>
      <c r="O408" s="15"/>
      <c r="P408" s="16"/>
      <c r="Q408" s="15"/>
      <c r="R408" s="11"/>
      <c r="S408" s="15"/>
      <c r="T408" s="15"/>
      <c r="U408" s="15"/>
      <c r="V408" s="15"/>
      <c r="W408" s="15"/>
      <c r="X408" s="15"/>
      <c r="Y408" s="15"/>
      <c r="Z408" s="15"/>
    </row>
    <row r="409" spans="1:26" s="43" customFormat="1" x14ac:dyDescent="0.3">
      <c r="A409" s="39"/>
      <c r="B409" s="360"/>
      <c r="C409" s="257"/>
      <c r="D409" s="4"/>
      <c r="E409" s="27"/>
      <c r="F409" s="120"/>
      <c r="G409" s="52"/>
      <c r="H409" s="210"/>
      <c r="I409" s="42"/>
      <c r="N409" s="18"/>
      <c r="O409" s="15"/>
      <c r="P409" s="16"/>
      <c r="Q409" s="15"/>
      <c r="R409" s="11"/>
      <c r="S409" s="15"/>
      <c r="T409" s="15"/>
      <c r="U409" s="15"/>
      <c r="V409" s="15"/>
      <c r="W409" s="15"/>
      <c r="X409" s="15"/>
      <c r="Y409" s="15"/>
      <c r="Z409" s="15"/>
    </row>
    <row r="410" spans="1:26" s="43" customFormat="1" x14ac:dyDescent="0.3">
      <c r="A410" s="39"/>
      <c r="B410" s="360"/>
      <c r="C410" s="59"/>
      <c r="D410" s="15"/>
      <c r="N410" s="18"/>
      <c r="O410" s="15"/>
      <c r="P410" s="16"/>
      <c r="Q410" s="15"/>
      <c r="R410" s="11"/>
      <c r="S410" s="15"/>
      <c r="T410" s="15"/>
      <c r="U410" s="15"/>
      <c r="V410" s="15"/>
      <c r="W410" s="15"/>
      <c r="X410" s="15"/>
      <c r="Y410" s="15"/>
      <c r="Z410" s="15"/>
    </row>
    <row r="411" spans="1:26" s="43" customFormat="1" x14ac:dyDescent="0.3">
      <c r="A411" s="39"/>
      <c r="B411" s="360"/>
      <c r="C411" s="59"/>
      <c r="D411" s="15"/>
      <c r="E411" s="52"/>
      <c r="F411" s="13"/>
      <c r="G411" s="15"/>
      <c r="H411" s="13"/>
      <c r="N411" s="18"/>
      <c r="O411" s="15"/>
      <c r="P411" s="16"/>
      <c r="Q411" s="15"/>
      <c r="R411" s="11"/>
      <c r="S411" s="15"/>
      <c r="T411" s="15"/>
      <c r="U411" s="15"/>
      <c r="V411" s="15"/>
      <c r="W411" s="15"/>
      <c r="X411" s="15"/>
      <c r="Y411" s="15"/>
      <c r="Z411" s="15"/>
    </row>
    <row r="412" spans="1:26" s="43" customFormat="1" x14ac:dyDescent="0.3">
      <c r="A412" s="39"/>
      <c r="B412" s="360"/>
      <c r="C412" s="59"/>
      <c r="D412" s="15"/>
      <c r="E412" s="52"/>
      <c r="F412" s="13"/>
      <c r="G412" s="15"/>
      <c r="H412" s="13"/>
      <c r="N412" s="18"/>
      <c r="O412" s="15"/>
      <c r="P412" s="16"/>
      <c r="Q412" s="15"/>
      <c r="R412" s="11"/>
      <c r="S412" s="15"/>
      <c r="T412" s="15"/>
      <c r="U412" s="15"/>
      <c r="V412" s="15"/>
      <c r="W412" s="15"/>
      <c r="X412" s="15"/>
      <c r="Y412" s="15"/>
      <c r="Z412" s="15"/>
    </row>
    <row r="413" spans="1:26" s="43" customFormat="1" x14ac:dyDescent="0.3">
      <c r="A413" s="39"/>
      <c r="B413" s="360"/>
      <c r="C413" s="214"/>
      <c r="D413" s="214" t="s">
        <v>670</v>
      </c>
      <c r="E413" s="52"/>
      <c r="F413" s="13"/>
      <c r="G413" s="15"/>
      <c r="H413" s="13"/>
      <c r="I413" s="43">
        <f>SUMIF(D46:D370,D413,I46:I370)</f>
        <v>600</v>
      </c>
      <c r="N413" s="18"/>
      <c r="O413" s="15"/>
      <c r="P413" s="16"/>
      <c r="Q413" s="15"/>
      <c r="R413" s="11"/>
      <c r="S413" s="15"/>
      <c r="T413" s="15"/>
      <c r="U413" s="15"/>
      <c r="V413" s="15"/>
      <c r="W413" s="15"/>
      <c r="X413" s="15"/>
      <c r="Y413" s="15"/>
      <c r="Z413" s="15"/>
    </row>
    <row r="414" spans="1:26" s="43" customFormat="1" x14ac:dyDescent="0.3">
      <c r="A414" s="39"/>
      <c r="B414" s="360"/>
      <c r="C414" s="59"/>
      <c r="D414" s="15"/>
      <c r="E414" s="52"/>
      <c r="F414" s="13"/>
      <c r="G414" s="15"/>
      <c r="H414" s="13"/>
      <c r="I414" s="43">
        <f>I413/60</f>
        <v>10</v>
      </c>
      <c r="N414" s="18"/>
      <c r="O414" s="15"/>
      <c r="P414" s="16"/>
      <c r="Q414" s="15"/>
      <c r="R414" s="11"/>
      <c r="S414" s="15"/>
      <c r="T414" s="15"/>
      <c r="U414" s="15"/>
      <c r="V414" s="15"/>
      <c r="W414" s="15"/>
      <c r="X414" s="15"/>
      <c r="Y414" s="15"/>
      <c r="Z414" s="15"/>
    </row>
    <row r="415" spans="1:26" s="43" customFormat="1" x14ac:dyDescent="0.3">
      <c r="A415" s="39"/>
      <c r="B415" s="360"/>
      <c r="C415" s="59"/>
      <c r="D415" s="15"/>
      <c r="E415" s="52"/>
      <c r="F415" s="13"/>
      <c r="G415" s="15"/>
      <c r="H415" s="13"/>
      <c r="N415" s="18"/>
      <c r="O415" s="15"/>
      <c r="P415" s="16"/>
      <c r="Q415" s="15"/>
      <c r="R415" s="11"/>
      <c r="S415" s="15"/>
      <c r="T415" s="15"/>
      <c r="U415" s="15"/>
      <c r="V415" s="15"/>
      <c r="W415" s="15"/>
      <c r="X415" s="15"/>
      <c r="Y415" s="15"/>
      <c r="Z415" s="15"/>
    </row>
    <row r="416" spans="1:26" s="43" customFormat="1" x14ac:dyDescent="0.3">
      <c r="A416" s="39"/>
      <c r="B416" s="360"/>
      <c r="C416" s="59"/>
      <c r="D416" s="15"/>
      <c r="E416" s="52"/>
      <c r="F416" s="13"/>
      <c r="G416" s="15"/>
      <c r="H416" s="13"/>
      <c r="N416" s="18"/>
      <c r="O416" s="15"/>
      <c r="P416" s="16"/>
      <c r="Q416" s="15"/>
      <c r="R416" s="11"/>
      <c r="S416" s="15"/>
      <c r="T416" s="15"/>
      <c r="U416" s="15"/>
      <c r="V416" s="15"/>
      <c r="W416" s="15"/>
      <c r="X416" s="15"/>
      <c r="Y416" s="15"/>
      <c r="Z416" s="15"/>
    </row>
    <row r="417" spans="1:26" s="43" customFormat="1" x14ac:dyDescent="0.3">
      <c r="A417" s="39"/>
      <c r="B417" s="360"/>
      <c r="C417" s="59"/>
      <c r="D417" s="15"/>
      <c r="E417" s="52"/>
      <c r="F417" s="13"/>
      <c r="G417" s="15"/>
      <c r="H417" s="13"/>
      <c r="N417" s="18"/>
      <c r="O417" s="15"/>
      <c r="P417" s="16"/>
      <c r="Q417" s="15"/>
      <c r="R417" s="11"/>
      <c r="S417" s="15"/>
      <c r="T417" s="15"/>
      <c r="U417" s="15"/>
      <c r="V417" s="15"/>
      <c r="W417" s="15"/>
      <c r="X417" s="15"/>
      <c r="Y417" s="15"/>
      <c r="Z417" s="15"/>
    </row>
    <row r="418" spans="1:26" s="43" customFormat="1" x14ac:dyDescent="0.3">
      <c r="A418" s="39"/>
      <c r="B418" s="360"/>
      <c r="C418" s="59"/>
      <c r="D418" s="15"/>
      <c r="E418" s="52"/>
      <c r="F418" s="13"/>
      <c r="G418" s="15"/>
      <c r="H418" s="13"/>
      <c r="N418" s="18"/>
      <c r="O418" s="15"/>
      <c r="P418" s="16"/>
      <c r="Q418" s="15"/>
      <c r="R418" s="11"/>
      <c r="S418" s="15"/>
      <c r="T418" s="15"/>
      <c r="U418" s="15"/>
      <c r="V418" s="15"/>
      <c r="W418" s="15"/>
      <c r="X418" s="15"/>
      <c r="Y418" s="15"/>
      <c r="Z418" s="15"/>
    </row>
    <row r="419" spans="1:26" s="43" customFormat="1" x14ac:dyDescent="0.3">
      <c r="A419" s="39"/>
      <c r="B419" s="360"/>
      <c r="C419" s="59"/>
      <c r="D419" s="15"/>
      <c r="E419" s="52"/>
      <c r="F419" s="13"/>
      <c r="G419" s="15"/>
      <c r="H419" s="13"/>
      <c r="N419" s="18"/>
      <c r="O419" s="15"/>
      <c r="P419" s="16"/>
      <c r="Q419" s="15"/>
      <c r="R419" s="11"/>
      <c r="S419" s="15"/>
      <c r="T419" s="15"/>
      <c r="U419" s="15"/>
      <c r="V419" s="15"/>
      <c r="W419" s="15"/>
      <c r="X419" s="15"/>
      <c r="Y419" s="15"/>
      <c r="Z419" s="15"/>
    </row>
    <row r="420" spans="1:26" s="43" customFormat="1" x14ac:dyDescent="0.3">
      <c r="A420" s="39"/>
      <c r="B420" s="360"/>
      <c r="C420" s="59"/>
      <c r="D420" s="15" t="s">
        <v>2090</v>
      </c>
      <c r="E420" s="52"/>
      <c r="F420" s="13"/>
      <c r="G420" s="15"/>
      <c r="H420" s="13"/>
      <c r="N420" s="18"/>
      <c r="O420" s="15"/>
      <c r="P420" s="16"/>
      <c r="Q420" s="15"/>
      <c r="R420" s="11"/>
      <c r="S420" s="15"/>
      <c r="T420" s="15"/>
      <c r="U420" s="15"/>
      <c r="V420" s="15"/>
      <c r="W420" s="15"/>
      <c r="X420" s="15"/>
      <c r="Y420" s="15"/>
      <c r="Z420" s="15"/>
    </row>
    <row r="421" spans="1:26" s="43" customFormat="1" x14ac:dyDescent="0.3">
      <c r="A421" s="39"/>
      <c r="B421" s="360"/>
      <c r="C421" s="59"/>
      <c r="D421" s="15" t="s">
        <v>1639</v>
      </c>
      <c r="E421" s="52"/>
      <c r="F421" s="13" t="s">
        <v>2091</v>
      </c>
      <c r="G421" s="15"/>
      <c r="H421" s="13"/>
      <c r="N421" s="18"/>
      <c r="O421" s="15"/>
      <c r="P421" s="16"/>
      <c r="Q421" s="15"/>
      <c r="R421" s="11"/>
      <c r="S421" s="15"/>
      <c r="T421" s="15"/>
      <c r="U421" s="15"/>
      <c r="V421" s="15"/>
      <c r="W421" s="15"/>
      <c r="X421" s="15"/>
      <c r="Y421" s="15"/>
      <c r="Z421" s="15"/>
    </row>
    <row r="422" spans="1:26" s="43" customFormat="1" x14ac:dyDescent="0.3">
      <c r="A422" s="39"/>
      <c r="B422" s="360"/>
      <c r="C422" s="59"/>
      <c r="D422" s="15" t="s">
        <v>2066</v>
      </c>
      <c r="E422" s="52">
        <f>VLOOKUP(D422,D255:M369,6,FALSE)</f>
        <v>21</v>
      </c>
      <c r="F422" s="13" t="s">
        <v>2092</v>
      </c>
      <c r="G422" s="15"/>
      <c r="H422" s="13">
        <v>84</v>
      </c>
      <c r="J422" s="43" t="s">
        <v>2110</v>
      </c>
      <c r="K422" s="398">
        <v>44930</v>
      </c>
      <c r="M422" s="43">
        <f>84-92-21</f>
        <v>-29</v>
      </c>
      <c r="N422" s="18"/>
      <c r="O422" s="15"/>
      <c r="P422" s="16"/>
      <c r="Q422" s="15"/>
      <c r="R422" s="11"/>
      <c r="S422" s="15"/>
      <c r="T422" s="15"/>
      <c r="U422" s="15"/>
      <c r="V422" s="15"/>
      <c r="W422" s="15"/>
      <c r="X422" s="15"/>
      <c r="Y422" s="15"/>
      <c r="Z422" s="15"/>
    </row>
    <row r="423" spans="1:26" s="43" customFormat="1" x14ac:dyDescent="0.3">
      <c r="A423" s="39"/>
      <c r="B423" s="360"/>
      <c r="C423" s="59"/>
      <c r="D423" s="15" t="s">
        <v>2093</v>
      </c>
      <c r="E423" s="52">
        <f>VLOOKUP(D423,D256:M371,6,FALSE)</f>
        <v>42</v>
      </c>
      <c r="F423" s="13" t="s">
        <v>2094</v>
      </c>
      <c r="G423" s="15"/>
      <c r="H423" s="13">
        <v>84</v>
      </c>
      <c r="N423" s="18"/>
      <c r="O423" s="15"/>
      <c r="P423" s="16"/>
      <c r="Q423" s="15"/>
      <c r="R423" s="11"/>
      <c r="S423" s="15"/>
      <c r="T423" s="15"/>
      <c r="U423" s="15"/>
      <c r="V423" s="15"/>
      <c r="W423" s="15"/>
      <c r="X423" s="15"/>
      <c r="Y423" s="15"/>
      <c r="Z423" s="15"/>
    </row>
    <row r="424" spans="1:26" s="43" customFormat="1" x14ac:dyDescent="0.3">
      <c r="A424" s="39"/>
      <c r="B424" s="360"/>
      <c r="C424" s="59"/>
      <c r="D424" s="15" t="s">
        <v>796</v>
      </c>
      <c r="E424" s="52">
        <f>IFERROR(VLOOKUP(D424,D257:M372,6,FALSE),)</f>
        <v>0</v>
      </c>
      <c r="F424" s="13" t="s">
        <v>2097</v>
      </c>
      <c r="G424" s="15"/>
      <c r="H424" s="13">
        <v>84</v>
      </c>
      <c r="N424" s="18"/>
      <c r="O424" s="15"/>
      <c r="P424" s="16"/>
      <c r="Q424" s="15"/>
      <c r="R424" s="11"/>
      <c r="S424" s="15"/>
      <c r="T424" s="15"/>
      <c r="U424" s="15"/>
      <c r="V424" s="15"/>
      <c r="W424" s="15"/>
      <c r="X424" s="15"/>
      <c r="Y424" s="15"/>
      <c r="Z424" s="15"/>
    </row>
    <row r="425" spans="1:26" s="43" customFormat="1" x14ac:dyDescent="0.3">
      <c r="A425" s="39"/>
      <c r="B425" s="360"/>
      <c r="C425" s="59"/>
      <c r="D425" s="15" t="s">
        <v>2098</v>
      </c>
      <c r="E425" s="52">
        <f>IFERROR(VLOOKUP(D425,D258:M373,6,FALSE),)</f>
        <v>0</v>
      </c>
      <c r="F425" s="13" t="s">
        <v>2099</v>
      </c>
      <c r="G425" s="15"/>
      <c r="H425" s="13">
        <v>84</v>
      </c>
      <c r="N425" s="18"/>
      <c r="O425" s="15"/>
      <c r="P425" s="16"/>
      <c r="Q425" s="15"/>
      <c r="R425" s="11"/>
      <c r="S425" s="15"/>
      <c r="T425" s="15"/>
      <c r="U425" s="15"/>
      <c r="V425" s="15"/>
      <c r="W425" s="15"/>
      <c r="X425" s="15"/>
      <c r="Y425" s="15"/>
      <c r="Z425" s="15"/>
    </row>
    <row r="426" spans="1:26" s="13" customFormat="1" x14ac:dyDescent="0.3">
      <c r="A426" s="39"/>
      <c r="B426" s="360"/>
      <c r="C426" s="59"/>
      <c r="D426" s="4" t="s">
        <v>2064</v>
      </c>
      <c r="E426" s="52">
        <f>IFERROR(VLOOKUP(D426,D259:M374,6,FALSE),)</f>
        <v>84</v>
      </c>
      <c r="F426" s="13" t="s">
        <v>2100</v>
      </c>
      <c r="G426" s="15"/>
      <c r="H426" s="13">
        <f>6*21</f>
        <v>126</v>
      </c>
      <c r="I426" s="43"/>
      <c r="J426" s="43"/>
      <c r="K426" s="43"/>
      <c r="L426" s="43"/>
      <c r="M426" s="43"/>
      <c r="N426" s="18"/>
      <c r="O426" s="15"/>
      <c r="P426" s="16"/>
      <c r="Q426" s="15"/>
      <c r="R426" s="11"/>
      <c r="S426" s="15"/>
      <c r="T426" s="15"/>
      <c r="U426" s="15"/>
      <c r="V426" s="15"/>
      <c r="W426" s="15"/>
      <c r="X426" s="15"/>
      <c r="Y426" s="15"/>
      <c r="Z426" s="15"/>
    </row>
    <row r="427" spans="1:26" s="13" customFormat="1" x14ac:dyDescent="0.3">
      <c r="A427" s="39"/>
      <c r="B427" s="360"/>
      <c r="C427" s="59"/>
      <c r="D427" s="15"/>
      <c r="E427" s="52"/>
      <c r="G427" s="15"/>
      <c r="I427" s="43"/>
      <c r="J427" s="43"/>
      <c r="K427" s="43"/>
      <c r="L427" s="43"/>
      <c r="M427" s="43"/>
      <c r="N427" s="18"/>
      <c r="O427" s="15"/>
      <c r="P427" s="16"/>
      <c r="Q427" s="15"/>
      <c r="R427" s="11"/>
      <c r="S427" s="15"/>
      <c r="T427" s="15"/>
      <c r="U427" s="15"/>
      <c r="V427" s="15"/>
      <c r="W427" s="15"/>
      <c r="X427" s="15"/>
      <c r="Y427" s="15"/>
      <c r="Z427" s="15"/>
    </row>
    <row r="428" spans="1:26" s="13" customFormat="1" x14ac:dyDescent="0.3">
      <c r="A428" s="39"/>
      <c r="B428" s="360"/>
      <c r="C428" s="59"/>
      <c r="D428" s="15"/>
      <c r="E428" s="52"/>
      <c r="G428" s="15"/>
      <c r="I428" s="43"/>
      <c r="J428" s="43"/>
      <c r="K428" s="43"/>
      <c r="L428" s="43"/>
      <c r="M428" s="43"/>
      <c r="N428" s="18"/>
      <c r="O428" s="15"/>
      <c r="P428" s="16"/>
      <c r="Q428" s="15"/>
      <c r="R428" s="11"/>
      <c r="S428" s="15"/>
      <c r="T428" s="15"/>
      <c r="U428" s="15"/>
      <c r="V428" s="15"/>
      <c r="W428" s="15"/>
      <c r="X428" s="15"/>
      <c r="Y428" s="15"/>
      <c r="Z428" s="15"/>
    </row>
    <row r="429" spans="1:26" s="13" customFormat="1" x14ac:dyDescent="0.3">
      <c r="A429" s="39"/>
      <c r="B429" s="360"/>
      <c r="C429" s="59"/>
      <c r="D429" s="15"/>
      <c r="E429" s="52"/>
      <c r="G429" s="15"/>
      <c r="I429" s="43"/>
      <c r="J429" s="43"/>
      <c r="K429" s="43"/>
      <c r="L429" s="43"/>
      <c r="M429" s="43"/>
      <c r="N429" s="18"/>
      <c r="O429" s="15"/>
      <c r="P429" s="16"/>
      <c r="Q429" s="15"/>
      <c r="R429" s="11"/>
      <c r="S429" s="15"/>
      <c r="T429" s="15"/>
      <c r="U429" s="15"/>
      <c r="V429" s="15"/>
      <c r="W429" s="15"/>
      <c r="X429" s="15"/>
      <c r="Y429" s="15"/>
      <c r="Z429" s="15"/>
    </row>
    <row r="430" spans="1:26" s="13" customFormat="1" x14ac:dyDescent="0.3">
      <c r="A430" s="39"/>
      <c r="B430" s="360"/>
      <c r="C430" s="59"/>
      <c r="D430" s="15"/>
      <c r="E430" s="52"/>
      <c r="G430" s="15"/>
      <c r="I430" s="43"/>
      <c r="J430" s="43"/>
      <c r="K430" s="43"/>
      <c r="L430" s="43"/>
      <c r="M430" s="43"/>
      <c r="N430" s="18"/>
      <c r="O430" s="15"/>
      <c r="P430" s="16"/>
      <c r="Q430" s="15"/>
      <c r="R430" s="11"/>
      <c r="S430" s="15"/>
      <c r="T430" s="15"/>
      <c r="U430" s="15"/>
      <c r="V430" s="15"/>
      <c r="W430" s="15"/>
      <c r="X430" s="15"/>
      <c r="Y430" s="15"/>
      <c r="Z430" s="15"/>
    </row>
    <row r="431" spans="1:26" s="13" customFormat="1" x14ac:dyDescent="0.3">
      <c r="A431" s="39"/>
      <c r="B431" s="360"/>
      <c r="C431" s="59"/>
      <c r="D431" s="15"/>
      <c r="E431" s="52"/>
      <c r="G431" s="15"/>
      <c r="I431" s="43"/>
      <c r="J431" s="43"/>
      <c r="K431" s="43"/>
      <c r="L431" s="43"/>
      <c r="M431" s="43"/>
      <c r="N431" s="18"/>
      <c r="O431" s="15"/>
      <c r="P431" s="16"/>
      <c r="Q431" s="15"/>
      <c r="R431" s="11"/>
      <c r="S431" s="15"/>
      <c r="T431" s="15"/>
      <c r="U431" s="15"/>
      <c r="V431" s="15"/>
      <c r="W431" s="15"/>
      <c r="X431" s="15"/>
      <c r="Y431" s="15"/>
      <c r="Z431" s="15"/>
    </row>
    <row r="432" spans="1:26" s="13" customFormat="1" x14ac:dyDescent="0.3">
      <c r="A432" s="39"/>
      <c r="B432" s="360"/>
      <c r="C432" s="59"/>
      <c r="D432" s="15"/>
      <c r="E432" s="52"/>
      <c r="G432" s="15"/>
      <c r="I432" s="43"/>
      <c r="J432" s="43"/>
      <c r="K432" s="43"/>
      <c r="L432" s="43"/>
      <c r="M432" s="43"/>
      <c r="N432" s="18"/>
      <c r="O432" s="15"/>
      <c r="P432" s="16"/>
      <c r="Q432" s="15"/>
      <c r="R432" s="11"/>
      <c r="S432" s="15"/>
      <c r="T432" s="15"/>
      <c r="U432" s="15"/>
      <c r="V432" s="15"/>
      <c r="W432" s="15"/>
      <c r="X432" s="15"/>
      <c r="Y432" s="15"/>
      <c r="Z432" s="15"/>
    </row>
    <row r="433" spans="1:26" s="13" customFormat="1" x14ac:dyDescent="0.3">
      <c r="A433" s="39"/>
      <c r="B433" s="360"/>
      <c r="C433" s="59"/>
      <c r="D433" s="15"/>
      <c r="E433" s="52"/>
      <c r="G433" s="15"/>
      <c r="I433" s="43"/>
      <c r="J433" s="43"/>
      <c r="K433" s="43"/>
      <c r="L433" s="43"/>
      <c r="M433" s="43"/>
      <c r="N433" s="18"/>
      <c r="O433" s="15"/>
      <c r="P433" s="16"/>
      <c r="Q433" s="15"/>
      <c r="R433" s="11"/>
      <c r="S433" s="15"/>
      <c r="T433" s="15"/>
      <c r="U433" s="15"/>
      <c r="V433" s="15"/>
      <c r="W433" s="15"/>
      <c r="X433" s="15"/>
      <c r="Y433" s="15"/>
      <c r="Z433" s="15"/>
    </row>
    <row r="434" spans="1:26" s="13" customFormat="1" x14ac:dyDescent="0.3">
      <c r="A434" s="39"/>
      <c r="B434" s="360"/>
      <c r="C434" s="59"/>
      <c r="D434" s="15"/>
      <c r="E434" s="52"/>
      <c r="G434" s="15"/>
      <c r="I434" s="43"/>
      <c r="J434" s="43"/>
      <c r="K434" s="43"/>
      <c r="L434" s="43"/>
      <c r="M434" s="43"/>
      <c r="N434" s="18"/>
      <c r="O434" s="15"/>
      <c r="P434" s="16"/>
      <c r="Q434" s="15"/>
      <c r="R434" s="11"/>
      <c r="S434" s="15"/>
      <c r="T434" s="15"/>
      <c r="U434" s="15"/>
      <c r="V434" s="15"/>
      <c r="W434" s="15"/>
      <c r="X434" s="15"/>
      <c r="Y434" s="15"/>
      <c r="Z434" s="15"/>
    </row>
    <row r="435" spans="1:26" s="13" customFormat="1" x14ac:dyDescent="0.3">
      <c r="A435" s="39"/>
      <c r="B435" s="360"/>
      <c r="C435" s="59"/>
      <c r="D435" s="15"/>
      <c r="E435" s="52"/>
      <c r="G435" s="15"/>
      <c r="I435" s="43"/>
      <c r="J435" s="43"/>
      <c r="K435" s="43"/>
      <c r="L435" s="43"/>
      <c r="M435" s="43"/>
      <c r="N435" s="18"/>
      <c r="O435" s="15"/>
      <c r="P435" s="16"/>
      <c r="Q435" s="15"/>
      <c r="R435" s="11"/>
      <c r="S435" s="15"/>
      <c r="T435" s="15"/>
      <c r="U435" s="15"/>
      <c r="V435" s="15"/>
      <c r="W435" s="15"/>
      <c r="X435" s="15"/>
      <c r="Y435" s="15"/>
      <c r="Z435" s="15"/>
    </row>
    <row r="436" spans="1:26" s="13" customFormat="1" x14ac:dyDescent="0.3">
      <c r="A436" s="39"/>
      <c r="B436" s="360"/>
      <c r="C436" s="59"/>
      <c r="D436" s="15"/>
      <c r="E436" s="52"/>
      <c r="G436" s="15"/>
      <c r="I436" s="43"/>
      <c r="J436" s="43"/>
      <c r="K436" s="43"/>
      <c r="L436" s="43"/>
      <c r="M436" s="43"/>
      <c r="N436" s="18"/>
      <c r="O436" s="15"/>
      <c r="P436" s="16"/>
      <c r="Q436" s="15"/>
      <c r="R436" s="11"/>
      <c r="S436" s="15"/>
      <c r="T436" s="15"/>
      <c r="U436" s="15"/>
      <c r="V436" s="15"/>
      <c r="W436" s="15"/>
      <c r="X436" s="15"/>
      <c r="Y436" s="15"/>
      <c r="Z436" s="15"/>
    </row>
    <row r="437" spans="1:26" s="13" customFormat="1" x14ac:dyDescent="0.3">
      <c r="A437" s="39"/>
      <c r="B437" s="360"/>
      <c r="C437" s="106"/>
      <c r="D437" s="15"/>
      <c r="E437" s="52"/>
      <c r="G437" s="15"/>
      <c r="I437" s="43"/>
      <c r="J437" s="43"/>
      <c r="K437" s="43"/>
      <c r="L437" s="43"/>
      <c r="M437" s="43"/>
      <c r="N437" s="18"/>
      <c r="O437" s="15"/>
      <c r="P437" s="16"/>
      <c r="Q437" s="15"/>
      <c r="R437" s="11"/>
      <c r="S437" s="15"/>
      <c r="T437" s="15"/>
      <c r="U437" s="15"/>
      <c r="V437" s="15"/>
      <c r="W437" s="15"/>
      <c r="X437" s="15"/>
      <c r="Y437" s="15"/>
      <c r="Z437" s="15"/>
    </row>
    <row r="438" spans="1:26" s="13" customFormat="1" x14ac:dyDescent="0.3">
      <c r="A438" s="39"/>
      <c r="B438" s="360"/>
      <c r="C438" s="106"/>
      <c r="D438" s="15"/>
      <c r="E438" s="114"/>
      <c r="G438" s="15"/>
      <c r="I438" s="43"/>
      <c r="J438" s="43"/>
      <c r="K438" s="43"/>
      <c r="L438" s="43"/>
      <c r="M438" s="43"/>
      <c r="N438" s="18"/>
      <c r="O438" s="15"/>
      <c r="P438" s="16"/>
      <c r="Q438" s="15"/>
      <c r="R438" s="11"/>
      <c r="S438" s="15"/>
      <c r="T438" s="15"/>
      <c r="U438" s="15"/>
      <c r="V438" s="15"/>
      <c r="W438" s="15"/>
      <c r="X438" s="15"/>
      <c r="Y438" s="15"/>
      <c r="Z438" s="15"/>
    </row>
    <row r="439" spans="1:26" s="13" customFormat="1" x14ac:dyDescent="0.3">
      <c r="A439" s="39"/>
      <c r="B439" s="360"/>
      <c r="C439" s="106"/>
      <c r="D439" s="15"/>
      <c r="E439" s="114"/>
      <c r="G439" s="15"/>
      <c r="I439" s="43"/>
      <c r="J439" s="43"/>
      <c r="K439" s="43"/>
      <c r="L439" s="43"/>
      <c r="M439" s="43"/>
      <c r="N439" s="18"/>
      <c r="O439" s="15"/>
      <c r="P439" s="16"/>
      <c r="Q439" s="15"/>
      <c r="R439" s="11"/>
      <c r="S439" s="15"/>
      <c r="T439" s="15"/>
      <c r="U439" s="15"/>
      <c r="V439" s="15"/>
      <c r="W439" s="15"/>
      <c r="X439" s="15"/>
      <c r="Y439" s="15"/>
      <c r="Z439" s="15"/>
    </row>
    <row r="440" spans="1:26" s="13" customFormat="1" x14ac:dyDescent="0.3">
      <c r="A440" s="39"/>
      <c r="B440" s="360"/>
      <c r="C440" s="106"/>
      <c r="D440" s="15"/>
      <c r="E440" s="114"/>
      <c r="G440" s="15"/>
      <c r="I440" s="43"/>
      <c r="J440" s="43"/>
      <c r="K440" s="43"/>
      <c r="L440" s="43"/>
      <c r="M440" s="43"/>
      <c r="N440" s="18"/>
      <c r="O440" s="15"/>
      <c r="P440" s="16"/>
      <c r="Q440" s="15"/>
      <c r="R440" s="11"/>
      <c r="S440" s="15"/>
      <c r="T440" s="15"/>
      <c r="U440" s="15"/>
      <c r="V440" s="15"/>
      <c r="W440" s="15"/>
      <c r="X440" s="15"/>
      <c r="Y440" s="15"/>
      <c r="Z440" s="15"/>
    </row>
    <row r="441" spans="1:26" s="13" customFormat="1" x14ac:dyDescent="0.3">
      <c r="A441" s="39"/>
      <c r="B441" s="360"/>
      <c r="C441" s="106"/>
      <c r="D441" s="15"/>
      <c r="E441" s="114"/>
      <c r="G441" s="15"/>
      <c r="I441" s="43"/>
      <c r="J441" s="43"/>
      <c r="K441" s="43"/>
      <c r="L441" s="43"/>
      <c r="M441" s="43"/>
      <c r="N441" s="18"/>
      <c r="O441" s="15"/>
      <c r="P441" s="16"/>
      <c r="Q441" s="15"/>
      <c r="R441" s="11"/>
      <c r="S441" s="15"/>
      <c r="T441" s="15"/>
      <c r="U441" s="15"/>
      <c r="V441" s="15"/>
      <c r="W441" s="15"/>
      <c r="X441" s="15"/>
      <c r="Y441" s="15"/>
      <c r="Z441" s="15"/>
    </row>
    <row r="442" spans="1:26" s="13" customFormat="1" x14ac:dyDescent="0.3">
      <c r="A442" s="39"/>
      <c r="B442" s="360"/>
      <c r="C442" s="106"/>
      <c r="D442" s="15"/>
      <c r="E442" s="114"/>
      <c r="G442" s="15"/>
      <c r="I442" s="43"/>
      <c r="J442" s="43"/>
      <c r="K442" s="43"/>
      <c r="L442" s="43"/>
      <c r="M442" s="43"/>
      <c r="N442" s="18"/>
      <c r="O442" s="15"/>
      <c r="P442" s="16"/>
      <c r="Q442" s="15"/>
      <c r="R442" s="11"/>
      <c r="S442" s="15"/>
      <c r="T442" s="15"/>
      <c r="U442" s="15"/>
      <c r="V442" s="15"/>
      <c r="W442" s="15"/>
      <c r="X442" s="15"/>
      <c r="Y442" s="15"/>
      <c r="Z442" s="15"/>
    </row>
    <row r="443" spans="1:26" s="13" customFormat="1" x14ac:dyDescent="0.3">
      <c r="A443" s="39"/>
      <c r="B443" s="360"/>
      <c r="C443" s="106"/>
      <c r="D443" s="15"/>
      <c r="E443" s="114"/>
      <c r="G443" s="15"/>
      <c r="I443" s="43"/>
      <c r="J443" s="43"/>
      <c r="K443" s="43"/>
      <c r="L443" s="43"/>
      <c r="M443" s="43"/>
      <c r="N443" s="18"/>
      <c r="O443" s="15"/>
      <c r="P443" s="16"/>
      <c r="Q443" s="15"/>
      <c r="R443" s="11"/>
      <c r="S443" s="15"/>
      <c r="T443" s="15"/>
      <c r="U443" s="15"/>
      <c r="V443" s="15"/>
      <c r="W443" s="15"/>
      <c r="X443" s="15"/>
      <c r="Y443" s="15"/>
      <c r="Z443" s="15"/>
    </row>
    <row r="444" spans="1:26" s="13" customFormat="1" x14ac:dyDescent="0.3">
      <c r="A444" s="39"/>
      <c r="B444" s="360"/>
      <c r="C444" s="106"/>
      <c r="D444" s="15"/>
      <c r="E444" s="114"/>
      <c r="G444" s="15"/>
      <c r="I444" s="43"/>
      <c r="J444" s="43"/>
      <c r="K444" s="43"/>
      <c r="L444" s="43"/>
      <c r="M444" s="43"/>
      <c r="N444" s="18"/>
      <c r="O444" s="15"/>
      <c r="P444" s="16"/>
      <c r="Q444" s="15"/>
      <c r="R444" s="11"/>
      <c r="S444" s="15"/>
      <c r="T444" s="15"/>
      <c r="U444" s="15"/>
      <c r="V444" s="15"/>
      <c r="W444" s="15"/>
      <c r="X444" s="15"/>
      <c r="Y444" s="15"/>
      <c r="Z444" s="15"/>
    </row>
    <row r="445" spans="1:26" s="13" customFormat="1" x14ac:dyDescent="0.3">
      <c r="A445" s="39"/>
      <c r="B445" s="360"/>
      <c r="C445" s="106"/>
      <c r="D445" s="15"/>
      <c r="E445" s="114"/>
      <c r="G445" s="15"/>
      <c r="I445" s="43"/>
      <c r="J445" s="43"/>
      <c r="K445" s="43"/>
      <c r="L445" s="43"/>
      <c r="M445" s="43"/>
      <c r="N445" s="18"/>
      <c r="O445" s="15"/>
      <c r="P445" s="16"/>
      <c r="Q445" s="15"/>
      <c r="R445" s="11"/>
      <c r="S445" s="15"/>
      <c r="T445" s="15"/>
      <c r="U445" s="15"/>
      <c r="V445" s="15"/>
      <c r="W445" s="15"/>
      <c r="X445" s="15"/>
      <c r="Y445" s="15"/>
      <c r="Z445" s="15"/>
    </row>
    <row r="446" spans="1:26" s="13" customFormat="1" x14ac:dyDescent="0.3">
      <c r="A446" s="39"/>
      <c r="B446" s="360"/>
      <c r="C446" s="106"/>
      <c r="D446" s="15"/>
      <c r="E446" s="114"/>
      <c r="G446" s="15"/>
      <c r="I446" s="43"/>
      <c r="J446" s="43"/>
      <c r="K446" s="43"/>
      <c r="L446" s="43"/>
      <c r="M446" s="43"/>
      <c r="N446" s="18"/>
      <c r="O446" s="15"/>
      <c r="P446" s="16"/>
      <c r="Q446" s="15"/>
      <c r="R446" s="11"/>
      <c r="S446" s="15"/>
      <c r="T446" s="15"/>
      <c r="U446" s="15"/>
      <c r="V446" s="15"/>
      <c r="W446" s="15"/>
      <c r="X446" s="15"/>
      <c r="Y446" s="15"/>
      <c r="Z446" s="15"/>
    </row>
    <row r="447" spans="1:26" s="13" customFormat="1" x14ac:dyDescent="0.3">
      <c r="A447" s="39"/>
      <c r="B447" s="360"/>
      <c r="C447" s="106"/>
      <c r="D447" s="15"/>
      <c r="E447" s="114"/>
      <c r="G447" s="15"/>
      <c r="I447" s="43"/>
      <c r="J447" s="43"/>
      <c r="K447" s="43"/>
      <c r="L447" s="43"/>
      <c r="M447" s="43"/>
      <c r="N447" s="18"/>
      <c r="O447" s="15"/>
      <c r="P447" s="16"/>
      <c r="Q447" s="15"/>
      <c r="R447" s="11"/>
      <c r="S447" s="15"/>
      <c r="T447" s="15"/>
      <c r="U447" s="15"/>
      <c r="V447" s="15"/>
      <c r="W447" s="15"/>
      <c r="X447" s="15"/>
      <c r="Y447" s="15"/>
      <c r="Z447" s="15"/>
    </row>
  </sheetData>
  <autoFilter ref="A45:Y382" xr:uid="{00000000-0001-0000-0200-000000000000}"/>
  <phoneticPr fontId="9" type="noConversion"/>
  <pageMargins left="0.31496062992125984" right="0.31496062992125984" top="0.74803149606299213" bottom="0.74803149606299213" header="0.31496062992125984" footer="0.31496062992125984"/>
  <pageSetup paperSize="9" scale="58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5"/>
  <sheetViews>
    <sheetView workbookViewId="0">
      <pane xSplit="2" ySplit="1" topLeftCell="C6" activePane="bottomRight" state="frozen"/>
      <selection activeCell="M382" sqref="M382:Q383"/>
      <selection pane="topRight" activeCell="M382" sqref="M382:Q383"/>
      <selection pane="bottomLeft" activeCell="M382" sqref="M382:Q383"/>
      <selection pane="bottomRight" activeCell="E8" sqref="E8"/>
    </sheetView>
  </sheetViews>
  <sheetFormatPr defaultColWidth="8.7265625" defaultRowHeight="13" x14ac:dyDescent="0.35"/>
  <cols>
    <col min="1" max="1" width="30.453125" style="9" bestFit="1" customWidth="1"/>
    <col min="2" max="2" width="9.453125" style="9" customWidth="1"/>
    <col min="3" max="4" width="11.1796875" style="9" bestFit="1" customWidth="1"/>
    <col min="5" max="6" width="10.81640625" style="9" bestFit="1" customWidth="1"/>
    <col min="7" max="7" width="11.1796875" style="9" bestFit="1" customWidth="1"/>
    <col min="8" max="8" width="11.453125" style="9" bestFit="1" customWidth="1"/>
    <col min="9" max="10" width="11.1796875" style="9" bestFit="1" customWidth="1"/>
    <col min="11" max="11" width="10.36328125" style="9" bestFit="1" customWidth="1"/>
    <col min="12" max="12" width="10.54296875" style="9" bestFit="1" customWidth="1"/>
    <col min="13" max="13" width="10.36328125" style="9" bestFit="1" customWidth="1"/>
    <col min="14" max="15" width="10.54296875" style="9" bestFit="1" customWidth="1"/>
    <col min="16" max="16" width="11.453125" style="9" bestFit="1" customWidth="1"/>
    <col min="17" max="17" width="11.08984375" style="14" bestFit="1" customWidth="1"/>
    <col min="18" max="16384" width="8.7265625" style="9"/>
  </cols>
  <sheetData>
    <row r="1" spans="1:20" s="10" customFormat="1" x14ac:dyDescent="0.35">
      <c r="C1" s="66" t="s">
        <v>24</v>
      </c>
      <c r="D1" s="66" t="s">
        <v>25</v>
      </c>
      <c r="E1" s="66" t="s">
        <v>26</v>
      </c>
      <c r="F1" s="66" t="s">
        <v>27</v>
      </c>
      <c r="G1" s="66" t="s">
        <v>516</v>
      </c>
      <c r="H1" s="66" t="s">
        <v>28</v>
      </c>
      <c r="I1" s="66" t="s">
        <v>520</v>
      </c>
      <c r="J1" s="66" t="s">
        <v>521</v>
      </c>
      <c r="K1" s="66" t="s">
        <v>29</v>
      </c>
      <c r="L1" s="66" t="s">
        <v>30</v>
      </c>
      <c r="M1" s="66" t="s">
        <v>31</v>
      </c>
      <c r="N1" s="66" t="s">
        <v>32</v>
      </c>
      <c r="O1" s="66" t="s">
        <v>33</v>
      </c>
      <c r="P1" s="66" t="s">
        <v>34</v>
      </c>
      <c r="Q1" s="67" t="s">
        <v>35</v>
      </c>
    </row>
    <row r="2" spans="1:20" x14ac:dyDescent="0.3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/>
    </row>
    <row r="3" spans="1:20" x14ac:dyDescent="0.35">
      <c r="A3" s="9" t="s">
        <v>36</v>
      </c>
      <c r="C3" s="68"/>
      <c r="D3" s="71">
        <f>SUMIFS('CASH BOOK 2022'!$L:$L,'CASH BOOK 2022'!$C:$C,'CASHFLOW 2022'!D$1,'CASH BOOK 2022'!$E:$E,'CASHFLOW 2022'!$A3)</f>
        <v>5683.7699999999995</v>
      </c>
      <c r="E3" s="71">
        <f>SUMIFS('CASH BOOK 2022'!$L:$L,'CASH BOOK 2022'!$C:$C,'CASHFLOW 2022'!E$1,'CASH BOOK 2022'!$E:$E,'CASHFLOW 2022'!$A3)</f>
        <v>3914</v>
      </c>
      <c r="F3" s="71">
        <f>SUMIFS('CASH BOOK 2022'!$L:$L,'CASH BOOK 2022'!$C:$C,'CASHFLOW 2022'!F$1,'CASH BOOK 2022'!$E:$E,'CASHFLOW 2022'!$A3)</f>
        <v>406.5</v>
      </c>
      <c r="G3" s="71">
        <f>SUMIFS('CASH BOOK 2022'!$L:$L,'CASH BOOK 2022'!$C:$C,'CASHFLOW 2022'!G$1,'CASH BOOK 2022'!$E:$E,'CASHFLOW 2022'!$A3)</f>
        <v>556.12</v>
      </c>
      <c r="H3" s="71">
        <f>SUMIFS('CASH BOOK 2022'!$L:$L,'CASH BOOK 2022'!$C:$C,'CASHFLOW 2022'!H$1,'CASH BOOK 2022'!$E:$E,'CASHFLOW 2022'!$A3)</f>
        <v>3152.5</v>
      </c>
      <c r="I3" s="71">
        <f>SUMIFS('CASH BOOK 2022'!$L:$L,'CASH BOOK 2022'!$C:$C,'CASHFLOW 2022'!I$1,'CASH BOOK 2022'!$E:$E,'CASHFLOW 2022'!$A3)</f>
        <v>629</v>
      </c>
      <c r="J3" s="71">
        <f>SUMIFS('CASH BOOK 2022'!$L:$L,'CASH BOOK 2022'!$C:$C,'CASHFLOW 2022'!J$1,'CASH BOOK 2022'!$E:$E,'CASHFLOW 2022'!$A3)</f>
        <v>354</v>
      </c>
      <c r="K3" s="71">
        <f>SUMIFS('CASH BOOK 2022'!$L:$L,'CASH BOOK 2022'!$C:$C,'CASHFLOW 2022'!K$1,'CASH BOOK 2022'!$E:$E,'CASHFLOW 2022'!$A3)</f>
        <v>60</v>
      </c>
      <c r="L3" s="71">
        <f>SUMIFS('CASH BOOK 2022'!$L:$L,'CASH BOOK 2022'!$C:$C,'CASHFLOW 2022'!L$1,'CASH BOOK 2022'!$E:$E,'CASHFLOW 2022'!$A3)</f>
        <v>4296.12</v>
      </c>
      <c r="M3" s="71">
        <f>SUMIFS('CASH BOOK 2022'!$L:$L,'CASH BOOK 2022'!$C:$C,'CASHFLOW 2022'!M$1,'CASH BOOK 2022'!$E:$E,'CASHFLOW 2022'!$A3)</f>
        <v>1332.25</v>
      </c>
      <c r="N3" s="71">
        <f>SUMIFS('CASH BOOK 2022'!$L:$L,'CASH BOOK 2022'!$C:$C,'CASHFLOW 2022'!N$1,'CASH BOOK 2022'!$E:$E,'CASHFLOW 2022'!$A3)</f>
        <v>400</v>
      </c>
      <c r="O3" s="71">
        <f>SUMIFS('CASH BOOK 2022'!$L:$L,'CASH BOOK 2022'!$C:$C,'CASHFLOW 2022'!O$1,'CASH BOOK 2022'!$E:$E,'CASHFLOW 2022'!$A3)</f>
        <v>60</v>
      </c>
      <c r="P3" s="92">
        <f t="shared" ref="P3:P9" si="0">SUM(D3:O3)</f>
        <v>20844.260000000002</v>
      </c>
      <c r="Q3" s="70">
        <v>12790</v>
      </c>
    </row>
    <row r="4" spans="1:20" ht="15.5" x14ac:dyDescent="0.35">
      <c r="A4" s="9" t="s">
        <v>37</v>
      </c>
      <c r="C4" s="68"/>
      <c r="D4" s="71">
        <f>SUMIFS('CASH BOOK 2022'!$L:$L,'CASH BOOK 2022'!$C:$C,'CASHFLOW 2022'!D$1,'CASH BOOK 2022'!$E:$E,'CASHFLOW 2022'!$A4)</f>
        <v>900</v>
      </c>
      <c r="E4" s="71">
        <f>SUMIFS('CASH BOOK 2022'!$L:$L,'CASH BOOK 2022'!$C:$C,'CASHFLOW 2022'!E$1,'CASH BOOK 2022'!$E:$E,'CASHFLOW 2022'!$A4)</f>
        <v>275</v>
      </c>
      <c r="F4" s="71">
        <f>SUMIFS('CASH BOOK 2022'!$L:$L,'CASH BOOK 2022'!$C:$C,'CASHFLOW 2022'!F$1,'CASH BOOK 2022'!$E:$E,'CASHFLOW 2022'!$A4)</f>
        <v>590</v>
      </c>
      <c r="G4" s="71">
        <f>SUMIFS('CASH BOOK 2022'!$L:$L,'CASH BOOK 2022'!$C:$C,'CASHFLOW 2022'!G$1,'CASH BOOK 2022'!$E:$E,'CASHFLOW 2022'!$A4)</f>
        <v>215</v>
      </c>
      <c r="H4" s="71">
        <f>SUMIFS('CASH BOOK 2022'!$L:$L,'CASH BOOK 2022'!$C:$C,'CASHFLOW 2022'!H$1,'CASH BOOK 2022'!$E:$E,'CASHFLOW 2022'!$A4)</f>
        <v>120</v>
      </c>
      <c r="I4" s="71">
        <f>SUMIFS('CASH BOOK 2022'!$L:$L,'CASH BOOK 2022'!$C:$C,'CASHFLOW 2022'!I$1,'CASH BOOK 2022'!$E:$E,'CASHFLOW 2022'!$A4)</f>
        <v>75</v>
      </c>
      <c r="J4" s="71">
        <f>SUMIFS('CASH BOOK 2022'!$L:$L,'CASH BOOK 2022'!$C:$C,'CASHFLOW 2022'!J$1,'CASH BOOK 2022'!$E:$E,'CASHFLOW 2022'!$A4)</f>
        <v>1060</v>
      </c>
      <c r="K4" s="71">
        <f>SUMIFS('CASH BOOK 2022'!$L:$L,'CASH BOOK 2022'!$C:$C,'CASHFLOW 2022'!K$1,'CASH BOOK 2022'!$E:$E,'CASHFLOW 2022'!$A4)</f>
        <v>235</v>
      </c>
      <c r="L4" s="71">
        <f>SUMIFS('CASH BOOK 2022'!$L:$L,'CASH BOOK 2022'!$C:$C,'CASHFLOW 2022'!L$1,'CASH BOOK 2022'!$E:$E,'CASHFLOW 2022'!$A4)</f>
        <v>225</v>
      </c>
      <c r="M4" s="71">
        <f>SUMIFS('CASH BOOK 2022'!$L:$L,'CASH BOOK 2022'!$C:$C,'CASHFLOW 2022'!M$1,'CASH BOOK 2022'!$E:$E,'CASHFLOW 2022'!$A4)</f>
        <v>360</v>
      </c>
      <c r="N4" s="71">
        <f>SUMIFS('CASH BOOK 2022'!$L:$L,'CASH BOOK 2022'!$C:$C,'CASHFLOW 2022'!N$1,'CASH BOOK 2022'!$E:$E,'CASHFLOW 2022'!$A4)</f>
        <v>417</v>
      </c>
      <c r="O4" s="71">
        <f>SUMIFS('CASH BOOK 2022'!$L:$L,'CASH BOOK 2022'!$C:$C,'CASHFLOW 2022'!O$1,'CASH BOOK 2022'!$E:$E,'CASHFLOW 2022'!$A4)</f>
        <v>0</v>
      </c>
      <c r="P4" s="69">
        <f t="shared" si="0"/>
        <v>4472</v>
      </c>
      <c r="Q4" s="70">
        <v>900</v>
      </c>
      <c r="T4" s="247"/>
    </row>
    <row r="5" spans="1:20" ht="15.5" x14ac:dyDescent="0.35">
      <c r="A5" s="9" t="s">
        <v>622</v>
      </c>
      <c r="C5" s="68"/>
      <c r="D5" s="71">
        <f>SUMIFS('CASH BOOK 2022'!$L:$L,'CASH BOOK 2022'!$C:$C,'CASHFLOW 2022'!D$1,'CASH BOOK 2022'!$E:$E,'CASHFLOW 2022'!$A5)</f>
        <v>0</v>
      </c>
      <c r="E5" s="71">
        <f>SUMIFS('CASH BOOK 2022'!$L:$L,'CASH BOOK 2022'!$C:$C,'CASHFLOW 2022'!E$1,'CASH BOOK 2022'!$E:$E,'CASHFLOW 2022'!$A5)</f>
        <v>50</v>
      </c>
      <c r="F5" s="71">
        <f>SUMIFS('CASH BOOK 2022'!$L:$L,'CASH BOOK 2022'!$C:$C,'CASHFLOW 2022'!F$1,'CASH BOOK 2022'!$E:$E,'CASHFLOW 2022'!$A5)</f>
        <v>0</v>
      </c>
      <c r="G5" s="71">
        <f>SUMIFS('CASH BOOK 2022'!$L:$L,'CASH BOOK 2022'!$C:$C,'CASHFLOW 2022'!G$1,'CASH BOOK 2022'!$E:$E,'CASHFLOW 2022'!$A5)</f>
        <v>0</v>
      </c>
      <c r="H5" s="71">
        <f>SUMIFS('CASH BOOK 2022'!$L:$L,'CASH BOOK 2022'!$C:$C,'CASHFLOW 2022'!H$1,'CASH BOOK 2022'!$E:$E,'CASHFLOW 2022'!$A5)</f>
        <v>30</v>
      </c>
      <c r="I5" s="71">
        <f>SUMIFS('CASH BOOK 2022'!$L:$L,'CASH BOOK 2022'!$C:$C,'CASHFLOW 2022'!I$1,'CASH BOOK 2022'!$E:$E,'CASHFLOW 2022'!$A5)</f>
        <v>0</v>
      </c>
      <c r="J5" s="71">
        <f>SUMIFS('CASH BOOK 2022'!$L:$L,'CASH BOOK 2022'!$C:$C,'CASHFLOW 2022'!J$1,'CASH BOOK 2022'!$E:$E,'CASHFLOW 2022'!$A5)</f>
        <v>0</v>
      </c>
      <c r="K5" s="71">
        <f>SUMIFS('CASH BOOK 2022'!$L:$L,'CASH BOOK 2022'!$C:$C,'CASHFLOW 2022'!K$1,'CASH BOOK 2022'!$E:$E,'CASHFLOW 2022'!$A5)</f>
        <v>0</v>
      </c>
      <c r="L5" s="71">
        <f>SUMIFS('CASH BOOK 2022'!$L:$L,'CASH BOOK 2022'!$C:$C,'CASHFLOW 2022'!L$1,'CASH BOOK 2022'!$E:$E,'CASHFLOW 2022'!$A5)</f>
        <v>0</v>
      </c>
      <c r="M5" s="71">
        <f>SUMIFS('CASH BOOK 2022'!$L:$L,'CASH BOOK 2022'!$C:$C,'CASHFLOW 2022'!M$1,'CASH BOOK 2022'!$E:$E,'CASHFLOW 2022'!$A5)</f>
        <v>0</v>
      </c>
      <c r="N5" s="71">
        <f>SUMIFS('CASH BOOK 2022'!$L:$L,'CASH BOOK 2022'!$C:$C,'CASHFLOW 2022'!N$1,'CASH BOOK 2022'!$E:$E,'CASHFLOW 2022'!$A5)</f>
        <v>0</v>
      </c>
      <c r="O5" s="71">
        <f>SUMIFS('CASH BOOK 2022'!$L:$L,'CASH BOOK 2022'!$C:$C,'CASHFLOW 2022'!O$1,'CASH BOOK 2022'!$E:$E,'CASHFLOW 2022'!$A5)</f>
        <v>0</v>
      </c>
      <c r="P5" s="69">
        <f t="shared" si="0"/>
        <v>80</v>
      </c>
      <c r="Q5" s="70">
        <v>100</v>
      </c>
      <c r="T5" s="247"/>
    </row>
    <row r="6" spans="1:20" ht="15.5" x14ac:dyDescent="0.35">
      <c r="A6" s="7" t="s">
        <v>317</v>
      </c>
      <c r="C6" s="68"/>
      <c r="D6" s="71">
        <f>SUMIFS('CASH BOOK 2022'!$L:$L,'CASH BOOK 2022'!$C:$C,'CASHFLOW 2022'!D$1,'CASH BOOK 2022'!$E:$E,'CASHFLOW 2022'!$A6)</f>
        <v>0</v>
      </c>
      <c r="E6" s="71">
        <f>SUMIFS('CASH BOOK 2022'!$L:$L,'CASH BOOK 2022'!$C:$C,'CASHFLOW 2022'!E$1,'CASH BOOK 2022'!$E:$E,'CASHFLOW 2022'!$A6)</f>
        <v>0</v>
      </c>
      <c r="F6" s="71">
        <f>SUMIFS('CASH BOOK 2022'!$L:$L,'CASH BOOK 2022'!$C:$C,'CASHFLOW 2022'!F$1,'CASH BOOK 2022'!$E:$E,'CASHFLOW 2022'!$A6)</f>
        <v>0</v>
      </c>
      <c r="G6" s="71">
        <f>SUMIFS('CASH BOOK 2022'!$L:$L,'CASH BOOK 2022'!$C:$C,'CASHFLOW 2022'!G$1,'CASH BOOK 2022'!$E:$E,'CASHFLOW 2022'!$A6)</f>
        <v>0</v>
      </c>
      <c r="H6" s="71">
        <f>SUMIFS('CASH BOOK 2022'!$L:$L,'CASH BOOK 2022'!$C:$C,'CASHFLOW 2022'!H$1,'CASH BOOK 2022'!$E:$E,'CASHFLOW 2022'!$A6)</f>
        <v>0</v>
      </c>
      <c r="I6" s="71">
        <f>SUMIFS('CASH BOOK 2022'!$L:$L,'CASH BOOK 2022'!$C:$C,'CASHFLOW 2022'!I$1,'CASH BOOK 2022'!$E:$E,'CASHFLOW 2022'!$A6)</f>
        <v>0</v>
      </c>
      <c r="J6" s="71">
        <f>SUMIFS('CASH BOOK 2022'!$L:$L,'CASH BOOK 2022'!$C:$C,'CASHFLOW 2022'!J$1,'CASH BOOK 2022'!$E:$E,'CASHFLOW 2022'!$A6)</f>
        <v>0</v>
      </c>
      <c r="K6" s="71">
        <f>SUMIFS('CASH BOOK 2022'!$L:$L,'CASH BOOK 2022'!$C:$C,'CASHFLOW 2022'!K$1,'CASH BOOK 2022'!$E:$E,'CASHFLOW 2022'!$A6)</f>
        <v>0</v>
      </c>
      <c r="L6" s="71">
        <f>SUMIFS('CASH BOOK 2022'!$L:$L,'CASH BOOK 2022'!$C:$C,'CASHFLOW 2022'!L$1,'CASH BOOK 2022'!$E:$E,'CASHFLOW 2022'!$A6)</f>
        <v>0</v>
      </c>
      <c r="M6" s="71">
        <f>SUMIFS('CASH BOOK 2022'!$L:$L,'CASH BOOK 2022'!$C:$C,'CASHFLOW 2022'!M$1,'CASH BOOK 2022'!$E:$E,'CASHFLOW 2022'!$A6)</f>
        <v>0</v>
      </c>
      <c r="N6" s="71">
        <f>SUMIFS('CASH BOOK 2022'!$L:$L,'CASH BOOK 2022'!$C:$C,'CASHFLOW 2022'!N$1,'CASH BOOK 2022'!$E:$E,'CASHFLOW 2022'!$A6)</f>
        <v>0</v>
      </c>
      <c r="O6" s="71">
        <f>SUMIFS('CASH BOOK 2022'!$L:$L,'CASH BOOK 2022'!$C:$C,'CASHFLOW 2022'!O$1,'CASH BOOK 2022'!$E:$E,'CASHFLOW 2022'!$A6)</f>
        <v>0</v>
      </c>
      <c r="P6" s="69">
        <f t="shared" si="0"/>
        <v>0</v>
      </c>
      <c r="Q6" s="70"/>
      <c r="T6" s="247"/>
    </row>
    <row r="7" spans="1:20" ht="15.5" x14ac:dyDescent="0.35">
      <c r="A7" s="7" t="s">
        <v>1405</v>
      </c>
      <c r="C7" s="68"/>
      <c r="D7" s="71">
        <f>SUMIFS('CASH BOOK 2022'!$L:$L,'CASH BOOK 2022'!$C:$C,'CASHFLOW 2022'!D$1,'CASH BOOK 2022'!$E:$E,'CASHFLOW 2022'!$A7)</f>
        <v>0</v>
      </c>
      <c r="E7" s="71">
        <f>SUMIFS('CASH BOOK 2022'!$L:$L,'CASH BOOK 2022'!$C:$C,'CASHFLOW 2022'!E$1,'CASH BOOK 2022'!$E:$E,'CASHFLOW 2022'!$A7)</f>
        <v>0</v>
      </c>
      <c r="F7" s="71">
        <f>SUMIFS('CASH BOOK 2022'!$L:$L,'CASH BOOK 2022'!$C:$C,'CASHFLOW 2022'!F$1,'CASH BOOK 2022'!$E:$E,'CASHFLOW 2022'!$A7)</f>
        <v>0</v>
      </c>
      <c r="G7" s="71">
        <f>SUMIFS('CASH BOOK 2022'!$L:$L,'CASH BOOK 2022'!$C:$C,'CASHFLOW 2022'!G$1,'CASH BOOK 2022'!$E:$E,'CASHFLOW 2022'!$A7)</f>
        <v>0</v>
      </c>
      <c r="H7" s="71">
        <f>SUMIFS('CASH BOOK 2022'!$L:$L,'CASH BOOK 2022'!$C:$C,'CASHFLOW 2022'!H$1,'CASH BOOK 2022'!$E:$E,'CASHFLOW 2022'!$A7)</f>
        <v>0</v>
      </c>
      <c r="I7" s="71">
        <f>SUMIFS('CASH BOOK 2022'!$L:$L,'CASH BOOK 2022'!$C:$C,'CASHFLOW 2022'!I$1,'CASH BOOK 2022'!$E:$E,'CASHFLOW 2022'!$A7)</f>
        <v>0</v>
      </c>
      <c r="J7" s="71">
        <f>SUMIFS('CASH BOOK 2022'!$L:$L,'CASH BOOK 2022'!$C:$C,'CASHFLOW 2022'!J$1,'CASH BOOK 2022'!$E:$E,'CASHFLOW 2022'!$A7)</f>
        <v>0</v>
      </c>
      <c r="K7" s="71">
        <f>SUMIFS('CASH BOOK 2022'!$L:$L,'CASH BOOK 2022'!$C:$C,'CASHFLOW 2022'!K$1,'CASH BOOK 2022'!$E:$E,'CASHFLOW 2022'!$A7)</f>
        <v>0</v>
      </c>
      <c r="L7" s="71">
        <f>SUMIFS('CASH BOOK 2022'!$L:$L,'CASH BOOK 2022'!$C:$C,'CASHFLOW 2022'!L$1,'CASH BOOK 2022'!$E:$E,'CASHFLOW 2022'!$A7)</f>
        <v>0</v>
      </c>
      <c r="M7" s="71">
        <f>SUMIFS('CASH BOOK 2022'!$L:$L,'CASH BOOK 2022'!$C:$C,'CASHFLOW 2022'!M$1,'CASH BOOK 2022'!$E:$E,'CASHFLOW 2022'!$A7)</f>
        <v>0</v>
      </c>
      <c r="N7" s="71">
        <f>SUMIFS('CASH BOOK 2022'!$L:$L,'CASH BOOK 2022'!$C:$C,'CASHFLOW 2022'!N$1,'CASH BOOK 2022'!$E:$E,'CASHFLOW 2022'!$A7)</f>
        <v>0</v>
      </c>
      <c r="O7" s="71">
        <f>SUMIFS('CASH BOOK 2022'!$L:$L,'CASH BOOK 2022'!$C:$C,'CASHFLOW 2022'!O$1,'CASH BOOK 2022'!$E:$E,'CASHFLOW 2022'!$A7)</f>
        <v>0</v>
      </c>
      <c r="P7" s="69">
        <f t="shared" si="0"/>
        <v>0</v>
      </c>
      <c r="Q7" s="70"/>
      <c r="T7" s="247"/>
    </row>
    <row r="8" spans="1:20" ht="15.5" x14ac:dyDescent="0.35">
      <c r="A8" s="9" t="s">
        <v>4</v>
      </c>
      <c r="C8" s="68"/>
      <c r="D8" s="71">
        <f>SUMIFS('CASH BOOK 2022'!$L:$L,'CASH BOOK 2022'!$C:$C,'CASHFLOW 2022'!D$1,'CASH BOOK 2022'!$E:$E,'CASHFLOW 2022'!$A8)</f>
        <v>0</v>
      </c>
      <c r="E8" s="71">
        <f>SUMIFS('CASH BOOK 2022'!$L:$L,'CASH BOOK 2022'!$C:$C,'CASHFLOW 2022'!E$1,'CASH BOOK 2022'!$E:$E,'CASHFLOW 2022'!$A8)</f>
        <v>0</v>
      </c>
      <c r="F8" s="71">
        <f>SUMIFS('CASH BOOK 2022'!$L:$L,'CASH BOOK 2022'!$C:$C,'CASHFLOW 2022'!F$1,'CASH BOOK 2022'!$E:$E,'CASHFLOW 2022'!$A8)</f>
        <v>0</v>
      </c>
      <c r="G8" s="71"/>
      <c r="H8" s="71">
        <f>SUMIFS('CASH BOOK 2022'!$L:$L,'CASH BOOK 2022'!$C:$C,'CASHFLOW 2022'!H$1,'CASH BOOK 2022'!$E:$E,'CASHFLOW 2022'!$A8)</f>
        <v>0</v>
      </c>
      <c r="I8" s="71">
        <f>SUMIFS('CASH BOOK 2022'!$L:$L,'CASH BOOK 2022'!$C:$C,'CASHFLOW 2022'!I$1,'CASH BOOK 2022'!$E:$E,'CASHFLOW 2022'!$A8)</f>
        <v>0</v>
      </c>
      <c r="J8" s="71">
        <f>SUMIFS('CASH BOOK 2022'!$L:$L,'CASH BOOK 2022'!$C:$C,'CASHFLOW 2022'!J$1,'CASH BOOK 2022'!$E:$E,'CASHFLOW 2022'!$A8)</f>
        <v>0</v>
      </c>
      <c r="K8" s="71">
        <f>SUMIFS('CASH BOOK 2022'!$L:$L,'CASH BOOK 2022'!$C:$C,'CASHFLOW 2022'!K$1,'CASH BOOK 2022'!$E:$E,'CASHFLOW 2022'!$A8)</f>
        <v>0</v>
      </c>
      <c r="L8" s="71">
        <f>SUMIFS('CASH BOOK 2022'!$L:$L,'CASH BOOK 2022'!$C:$C,'CASHFLOW 2022'!L$1,'CASH BOOK 2022'!$E:$E,'CASHFLOW 2022'!$A8)</f>
        <v>0</v>
      </c>
      <c r="M8" s="71">
        <f>SUMIFS('CASH BOOK 2022'!$L:$L,'CASH BOOK 2022'!$C:$C,'CASHFLOW 2022'!M$1,'CASH BOOK 2022'!$E:$E,'CASHFLOW 2022'!$A8)</f>
        <v>0</v>
      </c>
      <c r="N8" s="71">
        <f>SUMIFS('CASH BOOK 2022'!$L:$L,'CASH BOOK 2022'!$C:$C,'CASHFLOW 2022'!N$1,'CASH BOOK 2022'!$E:$E,'CASHFLOW 2022'!$A8)</f>
        <v>0</v>
      </c>
      <c r="O8" s="71">
        <f>SUMIFS('CASH BOOK 2022'!$L:$L,'CASH BOOK 2022'!$C:$C,'CASHFLOW 2022'!O$1,'CASH BOOK 2022'!$E:$E,'CASHFLOW 2022'!$A8)</f>
        <v>0</v>
      </c>
      <c r="P8" s="92">
        <f t="shared" si="0"/>
        <v>0</v>
      </c>
      <c r="Q8" s="70">
        <v>150</v>
      </c>
      <c r="T8" s="247"/>
    </row>
    <row r="9" spans="1:20" ht="15.5" x14ac:dyDescent="0.35">
      <c r="A9" s="9" t="s">
        <v>38</v>
      </c>
      <c r="C9" s="68"/>
      <c r="D9" s="71">
        <f>SUMIFS('CASH BOOK 2022'!$L:$L,'CASH BOOK 2022'!$C:$C,'CASHFLOW 2022'!D$1,'CASH BOOK 2022'!$E:$E,'CASHFLOW 2022'!$A9)</f>
        <v>0</v>
      </c>
      <c r="E9" s="71">
        <f>SUMIFS('CASH BOOK 2022'!$L:$L,'CASH BOOK 2022'!$C:$C,'CASHFLOW 2022'!E$1,'CASH BOOK 2022'!$E:$E,'CASHFLOW 2022'!$A9)</f>
        <v>0</v>
      </c>
      <c r="F9" s="71">
        <f>SUMIFS('CASH BOOK 2022'!$L:$L,'CASH BOOK 2022'!$C:$C,'CASHFLOW 2022'!F$1,'CASH BOOK 2022'!$E:$E,'CASHFLOW 2022'!$A9)</f>
        <v>0</v>
      </c>
      <c r="G9" s="71">
        <f>SUMIFS('CASH BOOK 2022'!$L:$L,'CASH BOOK 2022'!$C:$C,'CASHFLOW 2022'!G$1,'CASH BOOK 2022'!$E:$E,'CASHFLOW 2022'!$A9)</f>
        <v>0</v>
      </c>
      <c r="H9" s="71">
        <f>SUMIFS('CASH BOOK 2022'!$L:$L,'CASH BOOK 2022'!$C:$C,'CASHFLOW 2022'!H$1,'CASH BOOK 2022'!$E:$E,'CASHFLOW 2022'!$A9)</f>
        <v>0</v>
      </c>
      <c r="I9" s="71">
        <f>SUMIFS('CASH BOOK 2022'!$L:$L,'CASH BOOK 2022'!$C:$C,'CASHFLOW 2022'!I$1,'CASH BOOK 2022'!$E:$E,'CASHFLOW 2022'!$A9)</f>
        <v>0</v>
      </c>
      <c r="J9" s="71">
        <f>SUMIFS('CASH BOOK 2022'!$L:$L,'CASH BOOK 2022'!$C:$C,'CASHFLOW 2022'!J$1,'CASH BOOK 2022'!$E:$E,'CASHFLOW 2022'!$A9)</f>
        <v>0</v>
      </c>
      <c r="K9" s="71">
        <f>SUMIFS('CASH BOOK 2022'!$L:$L,'CASH BOOK 2022'!$C:$C,'CASHFLOW 2022'!K$1,'CASH BOOK 2022'!$E:$E,'CASHFLOW 2022'!$A9)</f>
        <v>0</v>
      </c>
      <c r="L9" s="71">
        <f>SUMIFS('CASH BOOK 2022'!$L:$L,'CASH BOOK 2022'!$C:$C,'CASHFLOW 2022'!L$1,'CASH BOOK 2022'!$E:$E,'CASHFLOW 2022'!$A9)</f>
        <v>0</v>
      </c>
      <c r="M9" s="71">
        <f>SUMIFS('CASH BOOK 2022'!$L:$L,'CASH BOOK 2022'!$C:$C,'CASHFLOW 2022'!M$1,'CASH BOOK 2022'!$E:$E,'CASHFLOW 2022'!$A9)</f>
        <v>0</v>
      </c>
      <c r="N9" s="71">
        <f>SUMIFS('CASH BOOK 2022'!$L:$L,'CASH BOOK 2022'!$C:$C,'CASHFLOW 2022'!N$1,'CASH BOOK 2022'!$E:$E,'CASHFLOW 2022'!$A9)</f>
        <v>0</v>
      </c>
      <c r="O9" s="71">
        <f>SUMIFS('CASH BOOK 2022'!$L:$L,'CASH BOOK 2022'!$C:$C,'CASHFLOW 2022'!O$1,'CASH BOOK 2022'!$E:$E,'CASHFLOW 2022'!$A9)</f>
        <v>0</v>
      </c>
      <c r="P9" s="69">
        <f t="shared" si="0"/>
        <v>0</v>
      </c>
      <c r="Q9" s="70">
        <v>0</v>
      </c>
      <c r="T9" s="247"/>
    </row>
    <row r="10" spans="1:20" ht="15.5" x14ac:dyDescent="0.35">
      <c r="A10" s="9" t="s">
        <v>5</v>
      </c>
      <c r="C10" s="68"/>
      <c r="D10" s="71">
        <f>SUMIFS('CASH BOOK 2022'!$L:$L,'CASH BOOK 2022'!$C:$C,'CASHFLOW 2022'!D$1,'CASH BOOK 2022'!$E:$E,'CASHFLOW 2022'!$A10)</f>
        <v>0</v>
      </c>
      <c r="E10" s="71">
        <f>SUMIFS('CASH BOOK 2022'!$L:$L,'CASH BOOK 2022'!$C:$C,'CASHFLOW 2022'!E$1,'CASH BOOK 2022'!$E:$E,'CASHFLOW 2022'!$A10)</f>
        <v>0</v>
      </c>
      <c r="F10" s="71">
        <f>SUMIFS('CASH BOOK 2022'!$L:$L,'CASH BOOK 2022'!$C:$C,'CASHFLOW 2022'!F$1,'CASH BOOK 2022'!$E:$E,'CASHFLOW 2022'!$A10)</f>
        <v>0</v>
      </c>
      <c r="G10" s="71">
        <f>SUMIFS('CASH BOOK 2022'!$L:$L,'CASH BOOK 2022'!$C:$C,'CASHFLOW 2022'!G$1,'CASH BOOK 2022'!$E:$E,'CASHFLOW 2022'!$A10)</f>
        <v>0</v>
      </c>
      <c r="H10" s="71">
        <f>SUMIFS('CASH BOOK 2022'!$L:$L,'CASH BOOK 2022'!$C:$C,'CASHFLOW 2022'!H$1,'CASH BOOK 2022'!$E:$E,'CASHFLOW 2022'!$A10)</f>
        <v>0</v>
      </c>
      <c r="I10" s="71">
        <f>SUMIFS('CASH BOOK 2022'!$L:$L,'CASH BOOK 2022'!$C:$C,'CASHFLOW 2022'!I$1,'CASH BOOK 2022'!$E:$E,'CASHFLOW 2022'!$A10)</f>
        <v>0</v>
      </c>
      <c r="J10" s="71">
        <f>SUMIFS('CASH BOOK 2022'!$L:$L,'CASH BOOK 2022'!$C:$C,'CASHFLOW 2022'!J$1,'CASH BOOK 2022'!$E:$E,'CASHFLOW 2022'!$A10)</f>
        <v>0</v>
      </c>
      <c r="K10" s="71">
        <f>SUMIFS('CASH BOOK 2022'!$L:$L,'CASH BOOK 2022'!$C:$C,'CASHFLOW 2022'!K$1,'CASH BOOK 2022'!$E:$E,'CASHFLOW 2022'!$A10)</f>
        <v>0</v>
      </c>
      <c r="L10" s="71">
        <f>SUMIFS('CASH BOOK 2022'!$L:$L,'CASH BOOK 2022'!$C:$C,'CASHFLOW 2022'!L$1,'CASH BOOK 2022'!$E:$E,'CASHFLOW 2022'!$A10)</f>
        <v>0</v>
      </c>
      <c r="M10" s="71">
        <f>SUMIFS('CASH BOOK 2022'!$L:$L,'CASH BOOK 2022'!$C:$C,'CASHFLOW 2022'!M$1,'CASH BOOK 2022'!$E:$E,'CASHFLOW 2022'!$A10)</f>
        <v>0</v>
      </c>
      <c r="N10" s="71">
        <f>SUMIFS('CASH BOOK 2022'!$L:$L,'CASH BOOK 2022'!$C:$C,'CASHFLOW 2022'!N$1,'CASH BOOK 2022'!$E:$E,'CASHFLOW 2022'!$A10)</f>
        <v>0</v>
      </c>
      <c r="O10" s="71">
        <f>SUMIFS('CASH BOOK 2022'!$L:$L,'CASH BOOK 2022'!$C:$C,'CASHFLOW 2022'!O$1,'CASH BOOK 2022'!$E:$E,'CASHFLOW 2022'!$A10)</f>
        <v>0</v>
      </c>
      <c r="P10" s="69">
        <f>SUM(D10:O10)</f>
        <v>0</v>
      </c>
      <c r="Q10" s="70"/>
      <c r="T10" s="247"/>
    </row>
    <row r="11" spans="1:20" ht="15.5" x14ac:dyDescent="0.35">
      <c r="T11" s="247"/>
    </row>
    <row r="12" spans="1:20" ht="15.5" x14ac:dyDescent="0.35">
      <c r="C12" s="68"/>
      <c r="D12" s="72">
        <f t="shared" ref="D12:Q12" si="1">SUM(D3:D10)</f>
        <v>6583.7699999999995</v>
      </c>
      <c r="E12" s="72">
        <f t="shared" si="1"/>
        <v>4239</v>
      </c>
      <c r="F12" s="72">
        <f t="shared" si="1"/>
        <v>996.5</v>
      </c>
      <c r="G12" s="72">
        <f t="shared" si="1"/>
        <v>771.12</v>
      </c>
      <c r="H12" s="72">
        <f t="shared" si="1"/>
        <v>3302.5</v>
      </c>
      <c r="I12" s="72">
        <f t="shared" si="1"/>
        <v>704</v>
      </c>
      <c r="J12" s="72">
        <f t="shared" si="1"/>
        <v>1414</v>
      </c>
      <c r="K12" s="72">
        <f t="shared" si="1"/>
        <v>295</v>
      </c>
      <c r="L12" s="72">
        <f t="shared" si="1"/>
        <v>4521.12</v>
      </c>
      <c r="M12" s="72">
        <f t="shared" si="1"/>
        <v>1692.25</v>
      </c>
      <c r="N12" s="72">
        <f t="shared" si="1"/>
        <v>817</v>
      </c>
      <c r="O12" s="72">
        <f t="shared" si="1"/>
        <v>60</v>
      </c>
      <c r="P12" s="72">
        <f t="shared" si="1"/>
        <v>25396.260000000002</v>
      </c>
      <c r="Q12" s="73">
        <f t="shared" si="1"/>
        <v>13940</v>
      </c>
      <c r="T12" s="247"/>
    </row>
    <row r="13" spans="1:20" ht="15.5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  <c r="T13" s="247"/>
    </row>
    <row r="14" spans="1:20" ht="15.5" x14ac:dyDescent="0.35">
      <c r="A14" s="9" t="s">
        <v>40</v>
      </c>
      <c r="C14" s="68"/>
      <c r="D14" s="71">
        <f>SUMIFS('CASH BOOK 2022'!$L:$L,'CASH BOOK 2022'!$C:$C,'CASHFLOW 2022'!D$1,'CASH BOOK 2022'!$E:$E,'CASHFLOW 2022'!$A14)</f>
        <v>0</v>
      </c>
      <c r="E14" s="71">
        <f>SUMIFS('CASH BOOK 2022'!$L:$L,'CASH BOOK 2022'!$C:$C,'CASHFLOW 2022'!E$1,'CASH BOOK 2022'!$E:$E,'CASHFLOW 2022'!$A14)</f>
        <v>-260.39999999999998</v>
      </c>
      <c r="F14" s="71">
        <f>SUMIFS('CASH BOOK 2022'!$L:$L,'CASH BOOK 2022'!$C:$C,'CASHFLOW 2022'!F$1,'CASH BOOK 2022'!$E:$E,'CASHFLOW 2022'!$A14)</f>
        <v>-218</v>
      </c>
      <c r="G14" s="71">
        <f>SUMIFS('CASH BOOK 2022'!$L:$L,'CASH BOOK 2022'!$C:$C,'CASHFLOW 2022'!G$1,'CASH BOOK 2022'!$E:$E,'CASHFLOW 2022'!$A14)</f>
        <v>-2357.64</v>
      </c>
      <c r="H14" s="71">
        <f>SUMIFS('CASH BOOK 2022'!$L:$L,'CASH BOOK 2022'!$C:$C,'CASHFLOW 2022'!H$1,'CASH BOOK 2022'!$E:$E,'CASHFLOW 2022'!$A14)</f>
        <v>-848.48</v>
      </c>
      <c r="I14" s="71">
        <f>SUMIFS('CASH BOOK 2022'!$L:$L,'CASH BOOK 2022'!$C:$C,'CASHFLOW 2022'!I$1,'CASH BOOK 2022'!$E:$E,'CASHFLOW 2022'!$A14)</f>
        <v>-174</v>
      </c>
      <c r="J14" s="71">
        <f>SUMIFS('CASH BOOK 2022'!$L:$L,'CASH BOOK 2022'!$C:$C,'CASHFLOW 2022'!J$1,'CASH BOOK 2022'!$E:$E,'CASHFLOW 2022'!$A14)</f>
        <v>-1595.55</v>
      </c>
      <c r="K14" s="71">
        <f>SUMIFS('CASH BOOK 2022'!$L:$L,'CASH BOOK 2022'!$C:$C,'CASHFLOW 2022'!K$1,'CASH BOOK 2022'!$E:$E,'CASHFLOW 2022'!$A14)</f>
        <v>-305</v>
      </c>
      <c r="L14" s="71">
        <f>SUMIFS('CASH BOOK 2022'!$L:$L,'CASH BOOK 2022'!$C:$C,'CASHFLOW 2022'!L$1,'CASH BOOK 2022'!$E:$E,'CASHFLOW 2022'!$A14)</f>
        <v>-429</v>
      </c>
      <c r="M14" s="71">
        <f>SUMIFS('CASH BOOK 2022'!$L:$L,'CASH BOOK 2022'!$C:$C,'CASHFLOW 2022'!M$1,'CASH BOOK 2022'!$E:$E,'CASHFLOW 2022'!$A14)</f>
        <v>0</v>
      </c>
      <c r="N14" s="71">
        <f>SUMIFS('CASH BOOK 2022'!$L:$L,'CASH BOOK 2022'!$C:$C,'CASHFLOW 2022'!N$1,'CASH BOOK 2022'!$E:$E,'CASHFLOW 2022'!$A14)</f>
        <v>-913.09</v>
      </c>
      <c r="O14" s="71">
        <f>SUMIFS('CASH BOOK 2022'!$L:$L,'CASH BOOK 2022'!$C:$C,'CASHFLOW 2022'!O$1,'CASH BOOK 2022'!$E:$E,'CASHFLOW 2022'!$A14)</f>
        <v>-343</v>
      </c>
      <c r="P14" s="69">
        <f t="shared" ref="P14:P29" si="2">SUM(D14:O14)</f>
        <v>-7444.16</v>
      </c>
      <c r="Q14" s="70">
        <v>5000</v>
      </c>
      <c r="T14" s="251"/>
    </row>
    <row r="15" spans="1:20" ht="15.5" x14ac:dyDescent="0.35">
      <c r="A15" s="9" t="s">
        <v>85</v>
      </c>
      <c r="C15" s="68"/>
      <c r="D15" s="71">
        <f>SUMIFS('CASH BOOK 2022'!$L:$L,'CASH BOOK 2022'!$C:$C,'CASHFLOW 2022'!D$1,'CASH BOOK 2022'!$E:$E,'CASHFLOW 2022'!$A15)</f>
        <v>0</v>
      </c>
      <c r="E15" s="71">
        <f>SUMIFS('CASH BOOK 2022'!$L:$L,'CASH BOOK 2022'!$C:$C,'CASHFLOW 2022'!E$1,'CASH BOOK 2022'!$E:$E,'CASHFLOW 2022'!$A15)</f>
        <v>0</v>
      </c>
      <c r="F15" s="71">
        <f>SUMIFS('CASH BOOK 2022'!$L:$L,'CASH BOOK 2022'!$C:$C,'CASHFLOW 2022'!F$1,'CASH BOOK 2022'!$E:$E,'CASHFLOW 2022'!$A15)</f>
        <v>0</v>
      </c>
      <c r="G15" s="71">
        <f>SUMIFS('CASH BOOK 2022'!$L:$L,'CASH BOOK 2022'!$C:$C,'CASHFLOW 2022'!G$1,'CASH BOOK 2022'!$E:$E,'CASHFLOW 2022'!$A15)</f>
        <v>0</v>
      </c>
      <c r="H15" s="71">
        <f>SUMIFS('CASH BOOK 2022'!$L:$L,'CASH BOOK 2022'!$C:$C,'CASHFLOW 2022'!H$1,'CASH BOOK 2022'!$E:$E,'CASHFLOW 2022'!$A15)</f>
        <v>0</v>
      </c>
      <c r="I15" s="71">
        <f>SUMIFS('CASH BOOK 2022'!$L:$L,'CASH BOOK 2022'!$C:$C,'CASHFLOW 2022'!I$1,'CASH BOOK 2022'!$E:$E,'CASHFLOW 2022'!$A15)</f>
        <v>0</v>
      </c>
      <c r="J15" s="71">
        <f>SUMIFS('CASH BOOK 2022'!$L:$L,'CASH BOOK 2022'!$C:$C,'CASHFLOW 2022'!J$1,'CASH BOOK 2022'!$E:$E,'CASHFLOW 2022'!$A15)</f>
        <v>0</v>
      </c>
      <c r="K15" s="71">
        <f>SUMIFS('CASH BOOK 2022'!$L:$L,'CASH BOOK 2022'!$C:$C,'CASHFLOW 2022'!K$1,'CASH BOOK 2022'!$E:$E,'CASHFLOW 2022'!$A15)</f>
        <v>0</v>
      </c>
      <c r="L15" s="71">
        <f>SUMIFS('CASH BOOK 2022'!$L:$L,'CASH BOOK 2022'!$C:$C,'CASHFLOW 2022'!L$1,'CASH BOOK 2022'!$E:$E,'CASHFLOW 2022'!$A15)</f>
        <v>0</v>
      </c>
      <c r="M15" s="71">
        <f>SUMIFS('CASH BOOK 2022'!$L:$L,'CASH BOOK 2022'!$C:$C,'CASHFLOW 2022'!M$1,'CASH BOOK 2022'!$E:$E,'CASHFLOW 2022'!$A15)</f>
        <v>0</v>
      </c>
      <c r="N15" s="71">
        <f>SUMIFS('CASH BOOK 2022'!$L:$L,'CASH BOOK 2022'!$C:$C,'CASHFLOW 2022'!N$1,'CASH BOOK 2022'!$E:$E,'CASHFLOW 2022'!$A15)</f>
        <v>0</v>
      </c>
      <c r="O15" s="71">
        <f>SUMIFS('CASH BOOK 2022'!$L:$L,'CASH BOOK 2022'!$C:$C,'CASHFLOW 2022'!O$1,'CASH BOOK 2022'!$E:$E,'CASHFLOW 2022'!$A15)</f>
        <v>0</v>
      </c>
      <c r="P15" s="69">
        <f t="shared" si="2"/>
        <v>0</v>
      </c>
      <c r="Q15" s="70">
        <v>0</v>
      </c>
      <c r="T15" s="247"/>
    </row>
    <row r="16" spans="1:20" ht="15.5" x14ac:dyDescent="0.35">
      <c r="A16" s="9" t="s">
        <v>77</v>
      </c>
      <c r="C16" s="68"/>
      <c r="D16" s="71">
        <f>SUMIFS('CASH BOOK 2022'!$L:$L,'CASH BOOK 2022'!$C:$C,'CASHFLOW 2022'!D$1,'CASH BOOK 2022'!$E:$E,'CASHFLOW 2022'!$A16)</f>
        <v>0</v>
      </c>
      <c r="E16" s="71">
        <f>SUMIFS('CASH BOOK 2022'!$L:$L,'CASH BOOK 2022'!$C:$C,'CASHFLOW 2022'!E$1,'CASH BOOK 2022'!$E:$E,'CASHFLOW 2022'!$A16)</f>
        <v>0</v>
      </c>
      <c r="F16" s="71">
        <f>SUMIFS('CASH BOOK 2022'!$L:$L,'CASH BOOK 2022'!$C:$C,'CASHFLOW 2022'!F$1,'CASH BOOK 2022'!$E:$E,'CASHFLOW 2022'!$A16)</f>
        <v>0</v>
      </c>
      <c r="G16" s="71">
        <f>SUMIFS('CASH BOOK 2022'!$L:$L,'CASH BOOK 2022'!$C:$C,'CASHFLOW 2022'!G$1,'CASH BOOK 2022'!$E:$E,'CASHFLOW 2022'!$A16)</f>
        <v>0</v>
      </c>
      <c r="H16" s="71">
        <f>SUMIFS('CASH BOOK 2022'!$L:$L,'CASH BOOK 2022'!$C:$C,'CASHFLOW 2022'!H$1,'CASH BOOK 2022'!$E:$E,'CASHFLOW 2022'!$A16)</f>
        <v>0</v>
      </c>
      <c r="I16" s="71">
        <f>SUMIFS('CASH BOOK 2022'!$L:$L,'CASH BOOK 2022'!$C:$C,'CASHFLOW 2022'!I$1,'CASH BOOK 2022'!$E:$E,'CASHFLOW 2022'!$A16)</f>
        <v>0</v>
      </c>
      <c r="J16" s="71">
        <f>SUMIFS('CASH BOOK 2022'!$L:$L,'CASH BOOK 2022'!$C:$C,'CASHFLOW 2022'!J$1,'CASH BOOK 2022'!$E:$E,'CASHFLOW 2022'!$A16)</f>
        <v>0</v>
      </c>
      <c r="K16" s="71">
        <f>SUMIFS('CASH BOOK 2022'!$L:$L,'CASH BOOK 2022'!$C:$C,'CASHFLOW 2022'!K$1,'CASH BOOK 2022'!$E:$E,'CASHFLOW 2022'!$A16)</f>
        <v>0</v>
      </c>
      <c r="L16" s="71">
        <f>SUMIFS('CASH BOOK 2022'!$L:$L,'CASH BOOK 2022'!$C:$C,'CASHFLOW 2022'!L$1,'CASH BOOK 2022'!$E:$E,'CASHFLOW 2022'!$A16)</f>
        <v>0</v>
      </c>
      <c r="M16" s="71">
        <f>SUMIFS('CASH BOOK 2022'!$L:$L,'CASH BOOK 2022'!$C:$C,'CASHFLOW 2022'!M$1,'CASH BOOK 2022'!$E:$E,'CASHFLOW 2022'!$A16)</f>
        <v>0</v>
      </c>
      <c r="N16" s="71">
        <f>SUMIFS('CASH BOOK 2022'!$L:$L,'CASH BOOK 2022'!$C:$C,'CASHFLOW 2022'!N$1,'CASH BOOK 2022'!$E:$E,'CASHFLOW 2022'!$A16)</f>
        <v>0</v>
      </c>
      <c r="O16" s="71">
        <f>SUMIFS('CASH BOOK 2022'!$L:$L,'CASH BOOK 2022'!$C:$C,'CASHFLOW 2022'!O$1,'CASH BOOK 2022'!$E:$E,'CASHFLOW 2022'!$A16)</f>
        <v>0</v>
      </c>
      <c r="P16" s="69">
        <f t="shared" si="2"/>
        <v>0</v>
      </c>
      <c r="Q16" s="70">
        <v>0</v>
      </c>
      <c r="T16" s="247"/>
    </row>
    <row r="17" spans="1:20" ht="15.5" x14ac:dyDescent="0.35">
      <c r="A17" s="9" t="s">
        <v>320</v>
      </c>
      <c r="C17" s="68"/>
      <c r="D17" s="71">
        <f>SUMIFS('CASH BOOK 2022'!$L:$L,'CASH BOOK 2022'!$C:$C,'CASHFLOW 2022'!D$1,'CASH BOOK 2022'!$E:$E,'CASHFLOW 2022'!$A17)</f>
        <v>0</v>
      </c>
      <c r="E17" s="71">
        <f>SUMIFS('CASH BOOK 2022'!$L:$L,'CASH BOOK 2022'!$C:$C,'CASHFLOW 2022'!E$1,'CASH BOOK 2022'!$E:$E,'CASHFLOW 2022'!$A17)</f>
        <v>0</v>
      </c>
      <c r="F17" s="71">
        <f>SUMIFS('CASH BOOK 2022'!$L:$L,'CASH BOOK 2022'!$C:$C,'CASHFLOW 2022'!F$1,'CASH BOOK 2022'!$E:$E,'CASHFLOW 2022'!$A17)</f>
        <v>0</v>
      </c>
      <c r="G17" s="71">
        <f>SUMIFS('CASH BOOK 2022'!$L:$L,'CASH BOOK 2022'!$C:$C,'CASHFLOW 2022'!G$1,'CASH BOOK 2022'!$E:$E,'CASHFLOW 2022'!$A17)</f>
        <v>0</v>
      </c>
      <c r="H17" s="71">
        <f>SUMIFS('CASH BOOK 2022'!$L:$L,'CASH BOOK 2022'!$C:$C,'CASHFLOW 2022'!H$1,'CASH BOOK 2022'!$E:$E,'CASHFLOW 2022'!$A17)</f>
        <v>0</v>
      </c>
      <c r="I17" s="71">
        <f>SUMIFS('CASH BOOK 2022'!$L:$L,'CASH BOOK 2022'!$C:$C,'CASHFLOW 2022'!I$1,'CASH BOOK 2022'!$E:$E,'CASHFLOW 2022'!$A17)</f>
        <v>0</v>
      </c>
      <c r="J17" s="71">
        <f>SUMIFS('CASH BOOK 2022'!$L:$L,'CASH BOOK 2022'!$C:$C,'CASHFLOW 2022'!J$1,'CASH BOOK 2022'!$E:$E,'CASHFLOW 2022'!$A17)</f>
        <v>0</v>
      </c>
      <c r="K17" s="71">
        <f>SUMIFS('CASH BOOK 2022'!$L:$L,'CASH BOOK 2022'!$C:$C,'CASHFLOW 2022'!K$1,'CASH BOOK 2022'!$E:$E,'CASHFLOW 2022'!$A17)</f>
        <v>0</v>
      </c>
      <c r="L17" s="71">
        <f>SUMIFS('CASH BOOK 2022'!$L:$L,'CASH BOOK 2022'!$C:$C,'CASHFLOW 2022'!L$1,'CASH BOOK 2022'!$E:$E,'CASHFLOW 2022'!$A17)</f>
        <v>0</v>
      </c>
      <c r="M17" s="71">
        <f>SUMIFS('CASH BOOK 2022'!$L:$L,'CASH BOOK 2022'!$C:$C,'CASHFLOW 2022'!M$1,'CASH BOOK 2022'!$E:$E,'CASHFLOW 2022'!$A17)</f>
        <v>0</v>
      </c>
      <c r="N17" s="71">
        <f>SUMIFS('CASH BOOK 2022'!$L:$L,'CASH BOOK 2022'!$C:$C,'CASHFLOW 2022'!N$1,'CASH BOOK 2022'!$E:$E,'CASHFLOW 2022'!$A17)</f>
        <v>0</v>
      </c>
      <c r="O17" s="71">
        <f>SUMIFS('CASH BOOK 2022'!$L:$L,'CASH BOOK 2022'!$C:$C,'CASHFLOW 2022'!O$1,'CASH BOOK 2022'!$E:$E,'CASHFLOW 2022'!$A17)</f>
        <v>0</v>
      </c>
      <c r="P17" s="69">
        <f t="shared" si="2"/>
        <v>0</v>
      </c>
      <c r="Q17" s="70"/>
      <c r="T17" s="247"/>
    </row>
    <row r="18" spans="1:20" ht="15.5" x14ac:dyDescent="0.35">
      <c r="A18" s="9" t="s">
        <v>8</v>
      </c>
      <c r="C18" s="68"/>
      <c r="D18" s="71">
        <f>SUMIFS('CASH BOOK 2022'!$L:$L,'CASH BOOK 2022'!$C:$C,'CASHFLOW 2022'!D$1,'CASH BOOK 2022'!$E:$E,'CASHFLOW 2022'!$A18)</f>
        <v>-270.64</v>
      </c>
      <c r="E18" s="71">
        <f>SUMIFS('CASH BOOK 2022'!$L:$L,'CASH BOOK 2022'!$C:$C,'CASHFLOW 2022'!E$1,'CASH BOOK 2022'!$E:$E,'CASHFLOW 2022'!$A18)</f>
        <v>-354.37</v>
      </c>
      <c r="F18" s="71">
        <f>SUMIFS('CASH BOOK 2022'!$L:$L,'CASH BOOK 2022'!$C:$C,'CASHFLOW 2022'!F$1,'CASH BOOK 2022'!$E:$E,'CASHFLOW 2022'!$A18)</f>
        <v>-270.31</v>
      </c>
      <c r="G18" s="71">
        <f>SUMIFS('CASH BOOK 2022'!$L:$L,'CASH BOOK 2022'!$C:$C,'CASHFLOW 2022'!G$1,'CASH BOOK 2022'!$E:$E,'CASHFLOW 2022'!$A18)</f>
        <v>-291.44</v>
      </c>
      <c r="H18" s="71">
        <f>SUMIFS('CASH BOOK 2022'!$L:$L,'CASH BOOK 2022'!$C:$C,'CASHFLOW 2022'!H$1,'CASH BOOK 2022'!$E:$E,'CASHFLOW 2022'!$A18)</f>
        <v>-134.69999999999999</v>
      </c>
      <c r="I18" s="71">
        <f>SUMIFS('CASH BOOK 2022'!$L:$L,'CASH BOOK 2022'!$C:$C,'CASHFLOW 2022'!I$1,'CASH BOOK 2022'!$E:$E,'CASHFLOW 2022'!$A18)</f>
        <v>-74.569999999999993</v>
      </c>
      <c r="J18" s="71">
        <f>SUMIFS('CASH BOOK 2022'!$L:$L,'CASH BOOK 2022'!$C:$C,'CASHFLOW 2022'!J$1,'CASH BOOK 2022'!$E:$E,'CASHFLOW 2022'!$A18)</f>
        <v>-36.130000000000003</v>
      </c>
      <c r="K18" s="71">
        <f>SUMIFS('CASH BOOK 2022'!$L:$L,'CASH BOOK 2022'!$C:$C,'CASHFLOW 2022'!K$1,'CASH BOOK 2022'!$E:$E,'CASHFLOW 2022'!$A18)</f>
        <v>-26.86</v>
      </c>
      <c r="L18" s="71">
        <f>SUMIFS('CASH BOOK 2022'!$L:$L,'CASH BOOK 2022'!$C:$C,'CASHFLOW 2022'!L$1,'CASH BOOK 2022'!$E:$E,'CASHFLOW 2022'!$A18)</f>
        <v>-19.54</v>
      </c>
      <c r="M18" s="71">
        <f>SUMIFS('CASH BOOK 2022'!$L:$L,'CASH BOOK 2022'!$C:$C,'CASHFLOW 2022'!M$1,'CASH BOOK 2022'!$E:$E,'CASHFLOW 2022'!$A18)</f>
        <v>-66.91</v>
      </c>
      <c r="N18" s="71">
        <f>SUMIFS('CASH BOOK 2022'!$L:$L,'CASH BOOK 2022'!$C:$C,'CASHFLOW 2022'!N$1,'CASH BOOK 2022'!$E:$E,'CASHFLOW 2022'!$A18)</f>
        <v>0</v>
      </c>
      <c r="O18" s="71">
        <f>SUMIFS('CASH BOOK 2022'!$L:$L,'CASH BOOK 2022'!$C:$C,'CASHFLOW 2022'!O$1,'CASH BOOK 2022'!$E:$E,'CASHFLOW 2022'!$A18)</f>
        <v>-300.11</v>
      </c>
      <c r="P18" s="69">
        <f t="shared" si="2"/>
        <v>-1845.58</v>
      </c>
      <c r="Q18" s="70">
        <v>3500</v>
      </c>
      <c r="T18" s="247"/>
    </row>
    <row r="19" spans="1:20" ht="15.5" x14ac:dyDescent="0.35">
      <c r="A19" s="9" t="s">
        <v>9</v>
      </c>
      <c r="C19" s="68"/>
      <c r="D19" s="71">
        <f>SUMIFS('CASH BOOK 2022'!$L:$L,'CASH BOOK 2022'!$C:$C,'CASHFLOW 2022'!D$1,'CASH BOOK 2022'!$E:$E,'CASHFLOW 2022'!$A19)</f>
        <v>-155.07</v>
      </c>
      <c r="E19" s="71">
        <f>SUMIFS('CASH BOOK 2022'!$L:$L,'CASH BOOK 2022'!$C:$C,'CASHFLOW 2022'!E$1,'CASH BOOK 2022'!$E:$E,'CASHFLOW 2022'!$A19)</f>
        <v>-200.88</v>
      </c>
      <c r="F19" s="71">
        <f>SUMIFS('CASH BOOK 2022'!$L:$L,'CASH BOOK 2022'!$C:$C,'CASHFLOW 2022'!F$1,'CASH BOOK 2022'!$E:$E,'CASHFLOW 2022'!$A19)</f>
        <v>-161.36000000000001</v>
      </c>
      <c r="G19" s="71">
        <f>SUMIFS('CASH BOOK 2022'!$L:$L,'CASH BOOK 2022'!$C:$C,'CASHFLOW 2022'!G$1,'CASH BOOK 2022'!$E:$E,'CASHFLOW 2022'!$A19)</f>
        <v>-138.44</v>
      </c>
      <c r="H19" s="71">
        <f>SUMIFS('CASH BOOK 2022'!$L:$L,'CASH BOOK 2022'!$C:$C,'CASHFLOW 2022'!H$1,'CASH BOOK 2022'!$E:$E,'CASHFLOW 2022'!$A19)</f>
        <v>-129.68</v>
      </c>
      <c r="I19" s="71">
        <f>SUMIFS('CASH BOOK 2022'!$L:$L,'CASH BOOK 2022'!$C:$C,'CASHFLOW 2022'!I$1,'CASH BOOK 2022'!$E:$E,'CASHFLOW 2022'!$A19)</f>
        <v>-101.86</v>
      </c>
      <c r="J19" s="71">
        <f>SUMIFS('CASH BOOK 2022'!$L:$L,'CASH BOOK 2022'!$C:$C,'CASHFLOW 2022'!J$1,'CASH BOOK 2022'!$E:$E,'CASHFLOW 2022'!$A19)</f>
        <v>-129.93</v>
      </c>
      <c r="K19" s="71">
        <f>SUMIFS('CASH BOOK 2022'!$L:$L,'CASH BOOK 2022'!$C:$C,'CASHFLOW 2022'!K$1,'CASH BOOK 2022'!$E:$E,'CASHFLOW 2022'!$A19)</f>
        <v>-115.42</v>
      </c>
      <c r="L19" s="71">
        <f>SUMIFS('CASH BOOK 2022'!$L:$L,'CASH BOOK 2022'!$C:$C,'CASHFLOW 2022'!L$1,'CASH BOOK 2022'!$E:$E,'CASHFLOW 2022'!$A19)</f>
        <v>-115.3</v>
      </c>
      <c r="M19" s="71">
        <f>SUMIFS('CASH BOOK 2022'!$L:$L,'CASH BOOK 2022'!$C:$C,'CASHFLOW 2022'!M$1,'CASH BOOK 2022'!$E:$E,'CASHFLOW 2022'!$A19)</f>
        <v>-127.4</v>
      </c>
      <c r="N19" s="71">
        <f>SUMIFS('CASH BOOK 2022'!$L:$L,'CASH BOOK 2022'!$C:$C,'CASHFLOW 2022'!N$1,'CASH BOOK 2022'!$E:$E,'CASHFLOW 2022'!$A19)</f>
        <v>0</v>
      </c>
      <c r="O19" s="71">
        <f>SUMIFS('CASH BOOK 2022'!$L:$L,'CASH BOOK 2022'!$C:$C,'CASHFLOW 2022'!O$1,'CASH BOOK 2022'!$E:$E,'CASHFLOW 2022'!$A19)</f>
        <v>-369.7</v>
      </c>
      <c r="P19" s="69">
        <f t="shared" si="2"/>
        <v>-1745.0400000000002</v>
      </c>
      <c r="Q19" s="70">
        <v>1500</v>
      </c>
      <c r="T19" s="247"/>
    </row>
    <row r="20" spans="1:20" ht="15.5" x14ac:dyDescent="0.35">
      <c r="A20" s="9" t="s">
        <v>301</v>
      </c>
      <c r="C20" s="68"/>
      <c r="D20" s="71">
        <f>SUMIFS('CASH BOOK 2022'!$L:$L,'CASH BOOK 2022'!$C:$C,'CASHFLOW 2022'!D$1,'CASH BOOK 2022'!$E:$E,'CASHFLOW 2022'!$A20)</f>
        <v>-44.94</v>
      </c>
      <c r="E20" s="71">
        <f>SUMIFS('CASH BOOK 2022'!$L:$L,'CASH BOOK 2022'!$C:$C,'CASHFLOW 2022'!E$1,'CASH BOOK 2022'!$E:$E,'CASHFLOW 2022'!$A20)</f>
        <v>-44.94</v>
      </c>
      <c r="F20" s="71">
        <f>SUMIFS('CASH BOOK 2022'!$L:$L,'CASH BOOK 2022'!$C:$C,'CASHFLOW 2022'!F$1,'CASH BOOK 2022'!$E:$E,'CASHFLOW 2022'!$A20)</f>
        <v>-44.94</v>
      </c>
      <c r="G20" s="71">
        <f>SUMIFS('CASH BOOK 2022'!$L:$L,'CASH BOOK 2022'!$C:$C,'CASHFLOW 2022'!G$1,'CASH BOOK 2022'!$E:$E,'CASHFLOW 2022'!$A20)</f>
        <v>-44.94</v>
      </c>
      <c r="H20" s="71">
        <f>SUMIFS('CASH BOOK 2022'!$L:$L,'CASH BOOK 2022'!$C:$C,'CASHFLOW 2022'!H$1,'CASH BOOK 2022'!$E:$E,'CASHFLOW 2022'!$A20)</f>
        <v>-44.94</v>
      </c>
      <c r="I20" s="71">
        <f>SUMIFS('CASH BOOK 2022'!$L:$L,'CASH BOOK 2022'!$C:$C,'CASHFLOW 2022'!I$1,'CASH BOOK 2022'!$E:$E,'CASHFLOW 2022'!$A20)</f>
        <v>-45.7</v>
      </c>
      <c r="J20" s="71">
        <f>SUMIFS('CASH BOOK 2022'!$L:$L,'CASH BOOK 2022'!$C:$C,'CASHFLOW 2022'!J$1,'CASH BOOK 2022'!$E:$E,'CASHFLOW 2022'!$A20)</f>
        <v>-45.54</v>
      </c>
      <c r="K20" s="71">
        <f>SUMIFS('CASH BOOK 2022'!$L:$L,'CASH BOOK 2022'!$C:$C,'CASHFLOW 2022'!K$1,'CASH BOOK 2022'!$E:$E,'CASHFLOW 2022'!$A20)</f>
        <v>-45.54</v>
      </c>
      <c r="L20" s="71">
        <f>SUMIFS('CASH BOOK 2022'!$L:$L,'CASH BOOK 2022'!$C:$C,'CASHFLOW 2022'!L$1,'CASH BOOK 2022'!$E:$E,'CASHFLOW 2022'!$A20)</f>
        <v>-45.54</v>
      </c>
      <c r="M20" s="71">
        <f>SUMIFS('CASH BOOK 2022'!$L:$L,'CASH BOOK 2022'!$C:$C,'CASHFLOW 2022'!M$1,'CASH BOOK 2022'!$E:$E,'CASHFLOW 2022'!$A20)</f>
        <v>-45.54</v>
      </c>
      <c r="N20" s="71">
        <f>SUMIFS('CASH BOOK 2022'!$L:$L,'CASH BOOK 2022'!$C:$C,'CASHFLOW 2022'!N$1,'CASH BOOK 2022'!$E:$E,'CASHFLOW 2022'!$A20)</f>
        <v>-45.54</v>
      </c>
      <c r="O20" s="71">
        <f>SUMIFS('CASH BOOK 2022'!$L:$L,'CASH BOOK 2022'!$C:$C,'CASHFLOW 2022'!O$1,'CASH BOOK 2022'!$E:$E,'CASHFLOW 2022'!$A20)</f>
        <v>-45.54</v>
      </c>
      <c r="P20" s="69">
        <f t="shared" si="2"/>
        <v>-543.6400000000001</v>
      </c>
      <c r="Q20" s="70">
        <v>540</v>
      </c>
      <c r="T20" s="247"/>
    </row>
    <row r="21" spans="1:20" ht="15.5" x14ac:dyDescent="0.35">
      <c r="A21" s="9" t="s">
        <v>86</v>
      </c>
      <c r="C21" s="68"/>
      <c r="D21" s="71">
        <f>SUMIFS('CASH BOOK 2022'!$L:$L,'CASH BOOK 2022'!$C:$C,'CASHFLOW 2022'!D$1,'CASH BOOK 2022'!$E:$E,'CASHFLOW 2022'!$A21)</f>
        <v>0</v>
      </c>
      <c r="E21" s="71">
        <f>SUMIFS('CASH BOOK 2022'!$L:$L,'CASH BOOK 2022'!$C:$C,'CASHFLOW 2022'!E$1,'CASH BOOK 2022'!$E:$E,'CASHFLOW 2022'!$A21)</f>
        <v>0</v>
      </c>
      <c r="F21" s="71">
        <f>SUMIFS('CASH BOOK 2022'!$L:$L,'CASH BOOK 2022'!$C:$C,'CASHFLOW 2022'!F$1,'CASH BOOK 2022'!$E:$E,'CASHFLOW 2022'!$A21)</f>
        <v>-100</v>
      </c>
      <c r="G21" s="71">
        <f>SUMIFS('CASH BOOK 2022'!$L:$L,'CASH BOOK 2022'!$C:$C,'CASHFLOW 2022'!G$1,'CASH BOOK 2022'!$E:$E,'CASHFLOW 2022'!$A21)</f>
        <v>0</v>
      </c>
      <c r="H21" s="71">
        <f>SUMIFS('CASH BOOK 2022'!$L:$L,'CASH BOOK 2022'!$C:$C,'CASHFLOW 2022'!H$1,'CASH BOOK 2022'!$E:$E,'CASHFLOW 2022'!$A21)</f>
        <v>0</v>
      </c>
      <c r="I21" s="71">
        <f>SUMIFS('CASH BOOK 2022'!$L:$L,'CASH BOOK 2022'!$C:$C,'CASHFLOW 2022'!I$1,'CASH BOOK 2022'!$E:$E,'CASHFLOW 2022'!$A21)</f>
        <v>0</v>
      </c>
      <c r="J21" s="71">
        <f>SUMIFS('CASH BOOK 2022'!$L:$L,'CASH BOOK 2022'!$C:$C,'CASHFLOW 2022'!J$1,'CASH BOOK 2022'!$E:$E,'CASHFLOW 2022'!$A21)</f>
        <v>0</v>
      </c>
      <c r="K21" s="71">
        <f>SUMIFS('CASH BOOK 2022'!$L:$L,'CASH BOOK 2022'!$C:$C,'CASHFLOW 2022'!K$1,'CASH BOOK 2022'!$E:$E,'CASHFLOW 2022'!$A21)</f>
        <v>0</v>
      </c>
      <c r="L21" s="71">
        <f>SUMIFS('CASH BOOK 2022'!$L:$L,'CASH BOOK 2022'!$C:$C,'CASHFLOW 2022'!L$1,'CASH BOOK 2022'!$E:$E,'CASHFLOW 2022'!$A21)</f>
        <v>0</v>
      </c>
      <c r="M21" s="71">
        <f>SUMIFS('CASH BOOK 2022'!$L:$L,'CASH BOOK 2022'!$C:$C,'CASHFLOW 2022'!M$1,'CASH BOOK 2022'!$E:$E,'CASHFLOW 2022'!$A21)</f>
        <v>0</v>
      </c>
      <c r="N21" s="71">
        <f>SUMIFS('CASH BOOK 2022'!$L:$L,'CASH BOOK 2022'!$C:$C,'CASHFLOW 2022'!N$1,'CASH BOOK 2022'!$E:$E,'CASHFLOW 2022'!$A21)</f>
        <v>0</v>
      </c>
      <c r="O21" s="71">
        <f>SUMIFS('CASH BOOK 2022'!$L:$L,'CASH BOOK 2022'!$C:$C,'CASHFLOW 2022'!O$1,'CASH BOOK 2022'!$E:$E,'CASHFLOW 2022'!$A21)</f>
        <v>0</v>
      </c>
      <c r="P21" s="69">
        <f>SUM(D21:O21)</f>
        <v>-100</v>
      </c>
      <c r="Q21" s="70">
        <v>100</v>
      </c>
      <c r="T21" s="247"/>
    </row>
    <row r="22" spans="1:20" ht="15.5" x14ac:dyDescent="0.35">
      <c r="A22" s="9" t="s">
        <v>10</v>
      </c>
      <c r="C22" s="68"/>
      <c r="D22" s="71">
        <f>SUMIFS('CASH BOOK 2022'!$L:$L,'CASH BOOK 2022'!$C:$C,'CASHFLOW 2022'!D$1,'CASH BOOK 2022'!$E:$E,'CASHFLOW 2022'!$A22)</f>
        <v>0</v>
      </c>
      <c r="E22" s="71">
        <f>SUMIFS('CASH BOOK 2022'!$L:$L,'CASH BOOK 2022'!$C:$C,'CASHFLOW 2022'!E$1,'CASH BOOK 2022'!$E:$E,'CASHFLOW 2022'!$A22)</f>
        <v>0</v>
      </c>
      <c r="F22" s="71">
        <f>SUMIFS('CASH BOOK 2022'!$L:$L,'CASH BOOK 2022'!$C:$C,'CASHFLOW 2022'!F$1,'CASH BOOK 2022'!$E:$E,'CASHFLOW 2022'!$A22)</f>
        <v>-434.28999999999996</v>
      </c>
      <c r="G22" s="71">
        <f>SUMIFS('CASH BOOK 2022'!$L:$L,'CASH BOOK 2022'!$C:$C,'CASHFLOW 2022'!G$1,'CASH BOOK 2022'!$E:$E,'CASHFLOW 2022'!$A22)</f>
        <v>0</v>
      </c>
      <c r="H22" s="71">
        <f>SUMIFS('CASH BOOK 2022'!$L:$L,'CASH BOOK 2022'!$C:$C,'CASHFLOW 2022'!H$1,'CASH BOOK 2022'!$E:$E,'CASHFLOW 2022'!$A22)</f>
        <v>0</v>
      </c>
      <c r="I22" s="71">
        <f>SUMIFS('CASH BOOK 2022'!$L:$L,'CASH BOOK 2022'!$C:$C,'CASHFLOW 2022'!I$1,'CASH BOOK 2022'!$E:$E,'CASHFLOW 2022'!$A22)</f>
        <v>0</v>
      </c>
      <c r="J22" s="71">
        <f>SUMIFS('CASH BOOK 2022'!$L:$L,'CASH BOOK 2022'!$C:$C,'CASHFLOW 2022'!J$1,'CASH BOOK 2022'!$E:$E,'CASHFLOW 2022'!$A22)</f>
        <v>0</v>
      </c>
      <c r="K22" s="71">
        <f>SUMIFS('CASH BOOK 2022'!$L:$L,'CASH BOOK 2022'!$C:$C,'CASHFLOW 2022'!K$1,'CASH BOOK 2022'!$E:$E,'CASHFLOW 2022'!$A22)</f>
        <v>0</v>
      </c>
      <c r="L22" s="71">
        <f>SUMIFS('CASH BOOK 2022'!$L:$L,'CASH BOOK 2022'!$C:$C,'CASHFLOW 2022'!L$1,'CASH BOOK 2022'!$E:$E,'CASHFLOW 2022'!$A22)</f>
        <v>0</v>
      </c>
      <c r="M22" s="71">
        <f>SUMIFS('CASH BOOK 2022'!$L:$L,'CASH BOOK 2022'!$C:$C,'CASHFLOW 2022'!M$1,'CASH BOOK 2022'!$E:$E,'CASHFLOW 2022'!$A22)</f>
        <v>0</v>
      </c>
      <c r="N22" s="71">
        <f>SUMIFS('CASH BOOK 2022'!$L:$L,'CASH BOOK 2022'!$C:$C,'CASHFLOW 2022'!N$1,'CASH BOOK 2022'!$E:$E,'CASHFLOW 2022'!$A22)</f>
        <v>0</v>
      </c>
      <c r="O22" s="71">
        <f>SUMIFS('CASH BOOK 2022'!$L:$L,'CASH BOOK 2022'!$C:$C,'CASHFLOW 2022'!O$1,'CASH BOOK 2022'!$E:$E,'CASHFLOW 2022'!$A22)</f>
        <v>0</v>
      </c>
      <c r="P22" s="69">
        <f t="shared" si="2"/>
        <v>-434.28999999999996</v>
      </c>
      <c r="Q22" s="70">
        <v>1100</v>
      </c>
      <c r="T22" s="247"/>
    </row>
    <row r="23" spans="1:20" ht="15.5" x14ac:dyDescent="0.35">
      <c r="A23" s="9" t="s">
        <v>11</v>
      </c>
      <c r="C23" s="68"/>
      <c r="D23" s="71">
        <f>SUMIFS('CASH BOOK 2022'!$L:$L,'CASH BOOK 2022'!$C:$C,'CASHFLOW 2022'!D$1,'CASH BOOK 2022'!$E:$E,'CASHFLOW 2022'!$A23)</f>
        <v>0</v>
      </c>
      <c r="E23" s="71">
        <f>SUMIFS('CASH BOOK 2022'!$L:$L,'CASH BOOK 2022'!$C:$C,'CASHFLOW 2022'!E$1,'CASH BOOK 2022'!$E:$E,'CASHFLOW 2022'!$A23)</f>
        <v>-29.54</v>
      </c>
      <c r="F23" s="71">
        <f>SUMIFS('CASH BOOK 2022'!$L:$L,'CASH BOOK 2022'!$C:$C,'CASHFLOW 2022'!F$1,'CASH BOOK 2022'!$E:$E,'CASHFLOW 2022'!$A23)</f>
        <v>-29.54</v>
      </c>
      <c r="G23" s="71">
        <f>SUMIFS('CASH BOOK 2022'!$L:$L,'CASH BOOK 2022'!$C:$C,'CASHFLOW 2022'!G$1,'CASH BOOK 2022'!$E:$E,'CASHFLOW 2022'!$A23)</f>
        <v>-33.729999999999997</v>
      </c>
      <c r="H23" s="71">
        <f>SUMIFS('CASH BOOK 2022'!$L:$L,'CASH BOOK 2022'!$C:$C,'CASHFLOW 2022'!H$1,'CASH BOOK 2022'!$E:$E,'CASHFLOW 2022'!$A23)</f>
        <v>-29.54</v>
      </c>
      <c r="I23" s="71">
        <f>SUMIFS('CASH BOOK 2022'!$L:$L,'CASH BOOK 2022'!$C:$C,'CASHFLOW 2022'!I$1,'CASH BOOK 2022'!$E:$E,'CASHFLOW 2022'!$A23)</f>
        <v>-29.54</v>
      </c>
      <c r="J23" s="71">
        <f>SUMIFS('CASH BOOK 2022'!$L:$L,'CASH BOOK 2022'!$C:$C,'CASHFLOW 2022'!J$1,'CASH BOOK 2022'!$E:$E,'CASHFLOW 2022'!$A23)</f>
        <v>-180.1</v>
      </c>
      <c r="K23" s="71">
        <f>SUMIFS('CASH BOOK 2022'!$L:$L,'CASH BOOK 2022'!$C:$C,'CASHFLOW 2022'!K$1,'CASH BOOK 2022'!$E:$E,'CASHFLOW 2022'!$A23)</f>
        <v>-29.54</v>
      </c>
      <c r="L23" s="71">
        <f>SUMIFS('CASH BOOK 2022'!$L:$L,'CASH BOOK 2022'!$C:$C,'CASHFLOW 2022'!L$1,'CASH BOOK 2022'!$E:$E,'CASHFLOW 2022'!$A23)</f>
        <v>-29.54</v>
      </c>
      <c r="M23" s="71">
        <f>SUMIFS('CASH BOOK 2022'!$L:$L,'CASH BOOK 2022'!$C:$C,'CASHFLOW 2022'!M$1,'CASH BOOK 2022'!$E:$E,'CASHFLOW 2022'!$A23)</f>
        <v>-162.13</v>
      </c>
      <c r="N23" s="71">
        <f>SUMIFS('CASH BOOK 2022'!$L:$L,'CASH BOOK 2022'!$C:$C,'CASHFLOW 2022'!N$1,'CASH BOOK 2022'!$E:$E,'CASHFLOW 2022'!$A23)</f>
        <v>-29.54</v>
      </c>
      <c r="O23" s="71">
        <f>SUMIFS('CASH BOOK 2022'!$L:$L,'CASH BOOK 2022'!$C:$C,'CASHFLOW 2022'!O$1,'CASH BOOK 2022'!$E:$E,'CASHFLOW 2022'!$A23)</f>
        <v>-29.54</v>
      </c>
      <c r="P23" s="69">
        <f t="shared" si="2"/>
        <v>-612.28</v>
      </c>
      <c r="Q23" s="70">
        <v>600</v>
      </c>
      <c r="T23" s="247"/>
    </row>
    <row r="24" spans="1:20" ht="15.5" x14ac:dyDescent="0.35">
      <c r="A24" s="9" t="s">
        <v>12</v>
      </c>
      <c r="C24" s="68"/>
      <c r="D24" s="71">
        <f>SUMIFS('CASH BOOK 2022'!$L:$L,'CASH BOOK 2022'!$C:$C,'CASHFLOW 2022'!D$1,'CASH BOOK 2022'!$E:$E,'CASHFLOW 2022'!$A24)</f>
        <v>-463.94</v>
      </c>
      <c r="E24" s="71">
        <f>SUMIFS('CASH BOOK 2022'!$L:$L,'CASH BOOK 2022'!$C:$C,'CASHFLOW 2022'!E$1,'CASH BOOK 2022'!$E:$E,'CASHFLOW 2022'!$A24)</f>
        <v>-383.35</v>
      </c>
      <c r="F24" s="71">
        <f>SUMIFS('CASH BOOK 2022'!$L:$L,'CASH BOOK 2022'!$C:$C,'CASHFLOW 2022'!F$1,'CASH BOOK 2022'!$E:$E,'CASHFLOW 2022'!$A24)</f>
        <v>-424.67</v>
      </c>
      <c r="G24" s="71">
        <f>SUMIFS('CASH BOOK 2022'!$L:$L,'CASH BOOK 2022'!$C:$C,'CASHFLOW 2022'!G$1,'CASH BOOK 2022'!$E:$E,'CASHFLOW 2022'!$A24)</f>
        <v>-419.14</v>
      </c>
      <c r="H24" s="71">
        <f>SUMIFS('CASH BOOK 2022'!$L:$L,'CASH BOOK 2022'!$C:$C,'CASHFLOW 2022'!H$1,'CASH BOOK 2022'!$E:$E,'CASHFLOW 2022'!$A24)</f>
        <v>-449.53</v>
      </c>
      <c r="I24" s="71">
        <f>SUMIFS('CASH BOOK 2022'!$L:$L,'CASH BOOK 2022'!$C:$C,'CASHFLOW 2022'!I$1,'CASH BOOK 2022'!$E:$E,'CASHFLOW 2022'!$A24)</f>
        <v>-442.35</v>
      </c>
      <c r="J24" s="71">
        <f>SUMIFS('CASH BOOK 2022'!$L:$L,'CASH BOOK 2022'!$C:$C,'CASHFLOW 2022'!J$1,'CASH BOOK 2022'!$E:$E,'CASHFLOW 2022'!$A24)</f>
        <v>-618.11</v>
      </c>
      <c r="K24" s="71">
        <f>SUMIFS('CASH BOOK 2022'!$L:$L,'CASH BOOK 2022'!$C:$C,'CASHFLOW 2022'!K$1,'CASH BOOK 2022'!$E:$E,'CASHFLOW 2022'!$A24)</f>
        <v>-455.82</v>
      </c>
      <c r="L24" s="71">
        <f>SUMIFS('CASH BOOK 2022'!$L:$L,'CASH BOOK 2022'!$C:$C,'CASHFLOW 2022'!L$1,'CASH BOOK 2022'!$E:$E,'CASHFLOW 2022'!$A24)</f>
        <v>-526.21</v>
      </c>
      <c r="M24" s="71">
        <f>SUMIFS('CASH BOOK 2022'!$L:$L,'CASH BOOK 2022'!$C:$C,'CASHFLOW 2022'!M$1,'CASH BOOK 2022'!$E:$E,'CASHFLOW 2022'!$A24)</f>
        <v>-525.42000000000007</v>
      </c>
      <c r="N24" s="71">
        <f>SUMIFS('CASH BOOK 2022'!$L:$L,'CASH BOOK 2022'!$C:$C,'CASHFLOW 2022'!N$1,'CASH BOOK 2022'!$E:$E,'CASHFLOW 2022'!$A24)</f>
        <v>-622.69000000000005</v>
      </c>
      <c r="O24" s="71">
        <f>SUMIFS('CASH BOOK 2022'!$L:$L,'CASH BOOK 2022'!$C:$C,'CASHFLOW 2022'!O$1,'CASH BOOK 2022'!$E:$E,'CASHFLOW 2022'!$A24)</f>
        <v>-498.54</v>
      </c>
      <c r="P24" s="69">
        <f t="shared" si="2"/>
        <v>-5829.7700000000013</v>
      </c>
      <c r="Q24" s="70">
        <v>4340</v>
      </c>
      <c r="T24" s="247"/>
    </row>
    <row r="25" spans="1:20" ht="15.5" x14ac:dyDescent="0.35">
      <c r="A25" s="9" t="s">
        <v>13</v>
      </c>
      <c r="C25" s="68"/>
      <c r="D25" s="71">
        <f>SUMIFS('CASH BOOK 2022'!$L:$L,'CASH BOOK 2022'!$C:$C,'CASHFLOW 2022'!D$1,'CASH BOOK 2022'!$E:$E,'CASHFLOW 2022'!$A25)</f>
        <v>0</v>
      </c>
      <c r="E25" s="71">
        <f>SUMIFS('CASH BOOK 2022'!$L:$L,'CASH BOOK 2022'!$C:$C,'CASHFLOW 2022'!E$1,'CASH BOOK 2022'!$E:$E,'CASHFLOW 2022'!$A25)</f>
        <v>0</v>
      </c>
      <c r="F25" s="71">
        <f>SUMIFS('CASH BOOK 2022'!$L:$L,'CASH BOOK 2022'!$C:$C,'CASHFLOW 2022'!F$1,'CASH BOOK 2022'!$E:$E,'CASHFLOW 2022'!$A25)</f>
        <v>0</v>
      </c>
      <c r="G25" s="71">
        <f>SUMIFS('CASH BOOK 2022'!$L:$L,'CASH BOOK 2022'!$C:$C,'CASHFLOW 2022'!G$1,'CASH BOOK 2022'!$E:$E,'CASHFLOW 2022'!$A25)</f>
        <v>-50</v>
      </c>
      <c r="H25" s="71">
        <f>SUMIFS('CASH BOOK 2022'!$L:$L,'CASH BOOK 2022'!$C:$C,'CASHFLOW 2022'!H$1,'CASH BOOK 2022'!$E:$E,'CASHFLOW 2022'!$A25)</f>
        <v>-35</v>
      </c>
      <c r="I25" s="71">
        <f>SUMIFS('CASH BOOK 2022'!$L:$L,'CASH BOOK 2022'!$C:$C,'CASHFLOW 2022'!I$1,'CASH BOOK 2022'!$E:$E,'CASHFLOW 2022'!$A25)</f>
        <v>-439.4</v>
      </c>
      <c r="J25" s="71">
        <f>SUMIFS('CASH BOOK 2022'!$L:$L,'CASH BOOK 2022'!$C:$C,'CASHFLOW 2022'!J$1,'CASH BOOK 2022'!$E:$E,'CASHFLOW 2022'!$A25)</f>
        <v>0</v>
      </c>
      <c r="K25" s="71">
        <f>SUMIFS('CASH BOOK 2022'!$L:$L,'CASH BOOK 2022'!$C:$C,'CASHFLOW 2022'!K$1,'CASH BOOK 2022'!$E:$E,'CASHFLOW 2022'!$A25)</f>
        <v>0</v>
      </c>
      <c r="L25" s="71">
        <f>SUMIFS('CASH BOOK 2022'!$L:$L,'CASH BOOK 2022'!$C:$C,'CASHFLOW 2022'!L$1,'CASH BOOK 2022'!$E:$E,'CASHFLOW 2022'!$A25)</f>
        <v>0</v>
      </c>
      <c r="M25" s="71">
        <f>SUMIFS('CASH BOOK 2022'!$L:$L,'CASH BOOK 2022'!$C:$C,'CASHFLOW 2022'!M$1,'CASH BOOK 2022'!$E:$E,'CASHFLOW 2022'!$A25)</f>
        <v>0</v>
      </c>
      <c r="N25" s="71">
        <f>SUMIFS('CASH BOOK 2022'!$L:$L,'CASH BOOK 2022'!$C:$C,'CASHFLOW 2022'!N$1,'CASH BOOK 2022'!$E:$E,'CASHFLOW 2022'!$A25)</f>
        <v>0</v>
      </c>
      <c r="O25" s="71">
        <f>SUMIFS('CASH BOOK 2022'!$L:$L,'CASH BOOK 2022'!$C:$C,'CASHFLOW 2022'!O$1,'CASH BOOK 2022'!$E:$E,'CASHFLOW 2022'!$A25)</f>
        <v>0</v>
      </c>
      <c r="P25" s="69">
        <f t="shared" si="2"/>
        <v>-524.4</v>
      </c>
      <c r="Q25" s="70">
        <v>1300</v>
      </c>
      <c r="T25" s="247"/>
    </row>
    <row r="26" spans="1:20" ht="15.5" x14ac:dyDescent="0.35">
      <c r="A26" s="9" t="s">
        <v>468</v>
      </c>
      <c r="C26" s="68"/>
      <c r="D26" s="71">
        <f>SUMIFS('CASH BOOK 2022'!$L:$L,'CASH BOOK 2022'!$C:$C,'CASHFLOW 2022'!D$1,'CASH BOOK 2022'!$E:$E,'CASHFLOW 2022'!$A26)</f>
        <v>0</v>
      </c>
      <c r="E26" s="71">
        <f>SUMIFS('CASH BOOK 2022'!$L:$L,'CASH BOOK 2022'!$C:$C,'CASHFLOW 2022'!E$1,'CASH BOOK 2022'!$E:$E,'CASHFLOW 2022'!$A26)</f>
        <v>0</v>
      </c>
      <c r="F26" s="71">
        <f>SUMIFS('CASH BOOK 2022'!$L:$L,'CASH BOOK 2022'!$C:$C,'CASHFLOW 2022'!F$1,'CASH BOOK 2022'!$E:$E,'CASHFLOW 2022'!$A26)</f>
        <v>0</v>
      </c>
      <c r="G26" s="71">
        <f>SUMIFS('CASH BOOK 2022'!$L:$L,'CASH BOOK 2022'!$C:$C,'CASHFLOW 2022'!G$1,'CASH BOOK 2022'!$E:$E,'CASHFLOW 2022'!$A26)</f>
        <v>-88</v>
      </c>
      <c r="H26" s="71">
        <f>SUMIFS('CASH BOOK 2022'!$L:$L,'CASH BOOK 2022'!$C:$C,'CASHFLOW 2022'!H$1,'CASH BOOK 2022'!$E:$E,'CASHFLOW 2022'!$A26)</f>
        <v>0</v>
      </c>
      <c r="I26" s="71">
        <f>SUMIFS('CASH BOOK 2022'!$L:$L,'CASH BOOK 2022'!$C:$C,'CASHFLOW 2022'!I$1,'CASH BOOK 2022'!$E:$E,'CASHFLOW 2022'!$A26)</f>
        <v>0</v>
      </c>
      <c r="J26" s="71">
        <f>SUMIFS('CASH BOOK 2022'!$L:$L,'CASH BOOK 2022'!$C:$C,'CASHFLOW 2022'!J$1,'CASH BOOK 2022'!$E:$E,'CASHFLOW 2022'!$A26)</f>
        <v>0</v>
      </c>
      <c r="K26" s="71">
        <f>SUMIFS('CASH BOOK 2022'!$L:$L,'CASH BOOK 2022'!$C:$C,'CASHFLOW 2022'!K$1,'CASH BOOK 2022'!$E:$E,'CASHFLOW 2022'!$A26)</f>
        <v>0</v>
      </c>
      <c r="L26" s="71">
        <f>SUMIFS('CASH BOOK 2022'!$L:$L,'CASH BOOK 2022'!$C:$C,'CASHFLOW 2022'!L$1,'CASH BOOK 2022'!$E:$E,'CASHFLOW 2022'!$A26)</f>
        <v>0</v>
      </c>
      <c r="M26" s="71">
        <f>SUMIFS('CASH BOOK 2022'!$L:$L,'CASH BOOK 2022'!$C:$C,'CASHFLOW 2022'!M$1,'CASH BOOK 2022'!$E:$E,'CASHFLOW 2022'!$A26)</f>
        <v>0</v>
      </c>
      <c r="N26" s="71">
        <f>SUMIFS('CASH BOOK 2022'!$L:$L,'CASH BOOK 2022'!$C:$C,'CASHFLOW 2022'!N$1,'CASH BOOK 2022'!$E:$E,'CASHFLOW 2022'!$A26)</f>
        <v>0</v>
      </c>
      <c r="O26" s="71">
        <f>SUMIFS('CASH BOOK 2022'!$L:$L,'CASH BOOK 2022'!$C:$C,'CASHFLOW 2022'!O$1,'CASH BOOK 2022'!$E:$E,'CASHFLOW 2022'!$A26)</f>
        <v>0</v>
      </c>
      <c r="P26" s="69">
        <f t="shared" si="2"/>
        <v>-88</v>
      </c>
      <c r="Q26" s="70">
        <v>150</v>
      </c>
      <c r="T26" s="247"/>
    </row>
    <row r="27" spans="1:20" ht="15.5" x14ac:dyDescent="0.35">
      <c r="A27" s="9" t="s">
        <v>621</v>
      </c>
      <c r="C27" s="68"/>
      <c r="D27" s="71">
        <f>SUMIFS('CASH BOOK 2022'!$L:$L,'CASH BOOK 2022'!$C:$C,'CASHFLOW 2022'!D$1,'CASH BOOK 2022'!$E:$E,'CASHFLOW 2022'!$A27)</f>
        <v>-10</v>
      </c>
      <c r="E27" s="71">
        <f>SUMIFS('CASH BOOK 2022'!$L:$L,'CASH BOOK 2022'!$C:$C,'CASHFLOW 2022'!E$1,'CASH BOOK 2022'!$E:$E,'CASHFLOW 2022'!$A27)</f>
        <v>0</v>
      </c>
      <c r="F27" s="71">
        <f>SUMIFS('CASH BOOK 2022'!$L:$L,'CASH BOOK 2022'!$C:$C,'CASHFLOW 2022'!F$1,'CASH BOOK 2022'!$E:$E,'CASHFLOW 2022'!$A27)</f>
        <v>-46</v>
      </c>
      <c r="G27" s="71">
        <f>SUMIFS('CASH BOOK 2022'!$L:$L,'CASH BOOK 2022'!$C:$C,'CASHFLOW 2022'!G$1,'CASH BOOK 2022'!$E:$E,'CASHFLOW 2022'!$A27)</f>
        <v>-34.28</v>
      </c>
      <c r="H27" s="71">
        <f>SUMIFS('CASH BOOK 2022'!$L:$L,'CASH BOOK 2022'!$C:$C,'CASHFLOW 2022'!H$1,'CASH BOOK 2022'!$E:$E,'CASHFLOW 2022'!$A27)</f>
        <v>-11.68</v>
      </c>
      <c r="I27" s="71">
        <f>SUMIFS('CASH BOOK 2022'!$L:$L,'CASH BOOK 2022'!$C:$C,'CASHFLOW 2022'!I$1,'CASH BOOK 2022'!$E:$E,'CASHFLOW 2022'!$A27)</f>
        <v>-250</v>
      </c>
      <c r="J27" s="71">
        <f>SUMIFS('CASH BOOK 2022'!$L:$L,'CASH BOOK 2022'!$C:$C,'CASHFLOW 2022'!J$1,'CASH BOOK 2022'!$E:$E,'CASHFLOW 2022'!$A27)</f>
        <v>-10</v>
      </c>
      <c r="K27" s="71">
        <f>SUMIFS('CASH BOOK 2022'!$L:$L,'CASH BOOK 2022'!$C:$C,'CASHFLOW 2022'!K$1,'CASH BOOK 2022'!$E:$E,'CASHFLOW 2022'!$A27)</f>
        <v>-28</v>
      </c>
      <c r="L27" s="71">
        <f>SUMIFS('CASH BOOK 2022'!$L:$L,'CASH BOOK 2022'!$C:$C,'CASHFLOW 2022'!L$1,'CASH BOOK 2022'!$E:$E,'CASHFLOW 2022'!$A27)</f>
        <v>-73.2</v>
      </c>
      <c r="M27" s="71">
        <f>SUMIFS('CASH BOOK 2022'!$L:$L,'CASH BOOK 2022'!$C:$C,'CASHFLOW 2022'!M$1,'CASH BOOK 2022'!$E:$E,'CASHFLOW 2022'!$A27)</f>
        <v>-10</v>
      </c>
      <c r="N27" s="71">
        <f>SUMIFS('CASH BOOK 2022'!$L:$L,'CASH BOOK 2022'!$C:$C,'CASHFLOW 2022'!N$1,'CASH BOOK 2022'!$E:$E,'CASHFLOW 2022'!$A27)</f>
        <v>-42</v>
      </c>
      <c r="O27" s="71">
        <f>SUMIFS('CASH BOOK 2022'!$L:$L,'CASH BOOK 2022'!$C:$C,'CASHFLOW 2022'!O$1,'CASH BOOK 2022'!$E:$E,'CASHFLOW 2022'!$A27)</f>
        <v>-250</v>
      </c>
      <c r="P27" s="69">
        <f t="shared" si="2"/>
        <v>-765.16000000000008</v>
      </c>
      <c r="Q27" s="70">
        <v>500</v>
      </c>
      <c r="T27" s="247"/>
    </row>
    <row r="28" spans="1:20" ht="15.5" x14ac:dyDescent="0.35">
      <c r="A28" s="9" t="s">
        <v>1332</v>
      </c>
      <c r="C28" s="68"/>
      <c r="D28" s="71">
        <f>SUMIFS('CASH BOOK 2022'!$L:$L,'CASH BOOK 2022'!$C:$C,'CASHFLOW 2022'!D$1,'CASH BOOK 2022'!$E:$E,'CASHFLOW 2022'!$A28)</f>
        <v>0</v>
      </c>
      <c r="E28" s="71">
        <f>SUMIFS('CASH BOOK 2022'!$L:$L,'CASH BOOK 2022'!$C:$C,'CASHFLOW 2022'!E$1,'CASH BOOK 2022'!$E:$E,'CASHFLOW 2022'!$A28)</f>
        <v>-5000</v>
      </c>
      <c r="F28" s="71">
        <f>SUMIFS('CASH BOOK 2022'!$L:$L,'CASH BOOK 2022'!$C:$C,'CASHFLOW 2022'!F$1,'CASH BOOK 2022'!$E:$E,'CASHFLOW 2022'!$A28)</f>
        <v>0</v>
      </c>
      <c r="G28" s="71">
        <f>SUMIFS('CASH BOOK 2022'!$L:$L,'CASH BOOK 2022'!$C:$C,'CASHFLOW 2022'!G$1,'CASH BOOK 2022'!$E:$E,'CASHFLOW 2022'!$A28)</f>
        <v>0</v>
      </c>
      <c r="H28" s="71">
        <f>SUMIFS('CASH BOOK 2022'!$L:$L,'CASH BOOK 2022'!$C:$C,'CASHFLOW 2022'!H$1,'CASH BOOK 2022'!$E:$E,'CASHFLOW 2022'!$A28)</f>
        <v>0</v>
      </c>
      <c r="I28" s="71">
        <f>SUMIFS('CASH BOOK 2022'!$L:$L,'CASH BOOK 2022'!$C:$C,'CASHFLOW 2022'!I$1,'CASH BOOK 2022'!$E:$E,'CASHFLOW 2022'!$A28)</f>
        <v>0</v>
      </c>
      <c r="J28" s="71">
        <f>SUMIFS('CASH BOOK 2022'!$L:$L,'CASH BOOK 2022'!$C:$C,'CASHFLOW 2022'!J$1,'CASH BOOK 2022'!$E:$E,'CASHFLOW 2022'!$A28)</f>
        <v>0</v>
      </c>
      <c r="K28" s="71">
        <f>SUMIFS('CASH BOOK 2022'!$L:$L,'CASH BOOK 2022'!$C:$C,'CASHFLOW 2022'!K$1,'CASH BOOK 2022'!$E:$E,'CASHFLOW 2022'!$A28)</f>
        <v>0</v>
      </c>
      <c r="L28" s="71">
        <f>SUMIFS('CASH BOOK 2022'!$L:$L,'CASH BOOK 2022'!$C:$C,'CASHFLOW 2022'!L$1,'CASH BOOK 2022'!$E:$E,'CASHFLOW 2022'!$A28)</f>
        <v>0</v>
      </c>
      <c r="M28" s="71">
        <f>SUMIFS('CASH BOOK 2022'!$L:$L,'CASH BOOK 2022'!$C:$C,'CASHFLOW 2022'!M$1,'CASH BOOK 2022'!$E:$E,'CASHFLOW 2022'!$A28)</f>
        <v>0</v>
      </c>
      <c r="N28" s="71">
        <f>SUMIFS('CASH BOOK 2022'!$L:$L,'CASH BOOK 2022'!$C:$C,'CASHFLOW 2022'!N$1,'CASH BOOK 2022'!$E:$E,'CASHFLOW 2022'!$A28)</f>
        <v>0</v>
      </c>
      <c r="O28" s="71">
        <f>SUMIFS('CASH BOOK 2022'!$L:$L,'CASH BOOK 2022'!$C:$C,'CASHFLOW 2022'!O$1,'CASH BOOK 2022'!$E:$E,'CASHFLOW 2022'!$A28)</f>
        <v>0</v>
      </c>
      <c r="P28" s="69">
        <f>SUM(D28:O28)</f>
        <v>-5000</v>
      </c>
      <c r="Q28" s="70"/>
      <c r="T28" s="247"/>
    </row>
    <row r="29" spans="1:20" ht="15.5" x14ac:dyDescent="0.35">
      <c r="C29" s="68"/>
      <c r="D29" s="71">
        <f>SUMIFS('CASH BOOK 2022'!$L:$L,'CASH BOOK 2022'!$C:$C,'CASHFLOW 2022'!D$1,'CASH BOOK 2022'!$E:$E,'CASHFLOW 2022'!$A29)</f>
        <v>0</v>
      </c>
      <c r="E29" s="71">
        <f>SUMIFS('CASH BOOK 2022'!$L:$L,'CASH BOOK 2022'!$C:$C,'CASHFLOW 2022'!E$1,'CASH BOOK 2022'!$E:$E,'CASHFLOW 2022'!$A29)</f>
        <v>0</v>
      </c>
      <c r="F29" s="71">
        <f>SUMIFS('CASH BOOK 2022'!$L:$L,'CASH BOOK 2022'!$C:$C,'CASHFLOW 2022'!F$1,'CASH BOOK 2022'!$E:$E,'CASHFLOW 2022'!$A29)</f>
        <v>0</v>
      </c>
      <c r="G29" s="71">
        <f>SUMIFS('CASH BOOK 2022'!$L:$L,'CASH BOOK 2022'!$C:$C,'CASHFLOW 2022'!G$1,'CASH BOOK 2022'!$E:$E,'CASHFLOW 2022'!$A29)</f>
        <v>0</v>
      </c>
      <c r="H29" s="71">
        <f>SUMIFS('CASH BOOK 2022'!$L:$L,'CASH BOOK 2022'!$C:$C,'CASHFLOW 2022'!H$1,'CASH BOOK 2022'!$E:$E,'CASHFLOW 2022'!$A29)</f>
        <v>0</v>
      </c>
      <c r="I29" s="71">
        <f>SUMIFS('CASH BOOK 2022'!$L:$L,'CASH BOOK 2022'!$C:$C,'CASHFLOW 2022'!I$1,'CASH BOOK 2022'!$E:$E,'CASHFLOW 2022'!$A29)</f>
        <v>0</v>
      </c>
      <c r="J29" s="71">
        <f>SUMIFS('CASH BOOK 2022'!$L:$L,'CASH BOOK 2022'!$C:$C,'CASHFLOW 2022'!J$1,'CASH BOOK 2022'!$E:$E,'CASHFLOW 2022'!$A29)</f>
        <v>0</v>
      </c>
      <c r="K29" s="71">
        <f>'CASH BOOK 2022'!I246</f>
        <v>0</v>
      </c>
      <c r="L29" s="71">
        <f>SUMIFS('CASH BOOK 2022'!$L:$L,'CASH BOOK 2022'!$C:$C,'CASHFLOW 2022'!L$1,'CASH BOOK 2022'!$E:$E,'CASHFLOW 2022'!$A29)</f>
        <v>0</v>
      </c>
      <c r="M29" s="71">
        <f>SUMIFS('CASH BOOK 2022'!$L:$L,'CASH BOOK 2022'!$C:$C,'CASHFLOW 2022'!M$1,'CASH BOOK 2022'!$E:$E,'CASHFLOW 2022'!$A29)</f>
        <v>0</v>
      </c>
      <c r="N29" s="71">
        <f>SUMIFS('CASH BOOK 2022'!$L:$L,'CASH BOOK 2022'!$C:$C,'CASHFLOW 2022'!N$1,'CASH BOOK 2022'!$E:$E,'CASHFLOW 2022'!$A29)</f>
        <v>0</v>
      </c>
      <c r="O29" s="71">
        <f>SUMIFS('CASH BOOK 2022'!$L:$L,'CASH BOOK 2022'!$C:$C,'CASHFLOW 2022'!O$1,'CASH BOOK 2022'!$E:$E,'CASHFLOW 2022'!$A29)</f>
        <v>0</v>
      </c>
      <c r="P29" s="69">
        <f t="shared" si="2"/>
        <v>0</v>
      </c>
      <c r="Q29" s="70">
        <v>0</v>
      </c>
      <c r="T29" s="247"/>
    </row>
    <row r="30" spans="1:20" ht="15.5" x14ac:dyDescent="0.35">
      <c r="C30" s="68"/>
      <c r="D30" s="72">
        <f>SUM(D14:D29)</f>
        <v>-944.58999999999992</v>
      </c>
      <c r="E30" s="72">
        <f>SUM(E14:E29)</f>
        <v>-6273.48</v>
      </c>
      <c r="F30" s="72">
        <f>SUM(F14:F29)</f>
        <v>-1729.1100000000001</v>
      </c>
      <c r="G30" s="72">
        <f>SUM(G14:G29)</f>
        <v>-3457.61</v>
      </c>
      <c r="H30" s="72">
        <f>SUM(H14:H29)</f>
        <v>-1683.5500000000002</v>
      </c>
      <c r="I30" s="72">
        <f t="shared" ref="I30:P30" si="3">SUM(I14:I29)</f>
        <v>-1557.42</v>
      </c>
      <c r="J30" s="72">
        <f t="shared" si="3"/>
        <v>-2615.36</v>
      </c>
      <c r="K30" s="72">
        <f t="shared" si="3"/>
        <v>-1006.1800000000001</v>
      </c>
      <c r="L30" s="72">
        <f t="shared" si="3"/>
        <v>-1238.3300000000002</v>
      </c>
      <c r="M30" s="72">
        <f t="shared" si="3"/>
        <v>-937.40000000000009</v>
      </c>
      <c r="N30" s="72">
        <f t="shared" si="3"/>
        <v>-1652.8600000000001</v>
      </c>
      <c r="O30" s="72">
        <f t="shared" si="3"/>
        <v>-1836.4299999999998</v>
      </c>
      <c r="P30" s="72">
        <f t="shared" si="3"/>
        <v>-24932.320000000003</v>
      </c>
      <c r="Q30" s="73">
        <f>SUM(Q14:Q29)</f>
        <v>18630</v>
      </c>
      <c r="T30" s="247"/>
    </row>
    <row r="31" spans="1:20" ht="15.5" x14ac:dyDescent="0.3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  <c r="T31" s="247"/>
    </row>
    <row r="32" spans="1:20" s="80" customFormat="1" ht="15.5" x14ac:dyDescent="0.35">
      <c r="A32" s="80" t="s">
        <v>507</v>
      </c>
      <c r="C32" s="81"/>
      <c r="D32" s="81">
        <f>D12+D30</f>
        <v>5639.1799999999994</v>
      </c>
      <c r="E32" s="81">
        <f t="shared" ref="E32:P32" si="4">E12+E30</f>
        <v>-2034.4799999999996</v>
      </c>
      <c r="F32" s="81">
        <f t="shared" si="4"/>
        <v>-732.61000000000013</v>
      </c>
      <c r="G32" s="81">
        <f t="shared" si="4"/>
        <v>-2686.4900000000002</v>
      </c>
      <c r="H32" s="81">
        <f t="shared" si="4"/>
        <v>1618.9499999999998</v>
      </c>
      <c r="I32" s="81">
        <f t="shared" si="4"/>
        <v>-853.42000000000007</v>
      </c>
      <c r="J32" s="81">
        <f t="shared" si="4"/>
        <v>-1201.3600000000001</v>
      </c>
      <c r="K32" s="81">
        <f t="shared" si="4"/>
        <v>-711.18000000000006</v>
      </c>
      <c r="L32" s="81">
        <f t="shared" si="4"/>
        <v>3282.79</v>
      </c>
      <c r="M32" s="81">
        <f t="shared" si="4"/>
        <v>754.84999999999991</v>
      </c>
      <c r="N32" s="81">
        <f t="shared" si="4"/>
        <v>-835.86000000000013</v>
      </c>
      <c r="O32" s="81">
        <f t="shared" si="4"/>
        <v>-1776.4299999999998</v>
      </c>
      <c r="P32" s="81">
        <f t="shared" si="4"/>
        <v>463.93999999999869</v>
      </c>
      <c r="Q32" s="82">
        <f>Q12-Q30</f>
        <v>-4690</v>
      </c>
      <c r="T32" s="248"/>
    </row>
    <row r="33" spans="1:20" ht="15.5" x14ac:dyDescent="0.3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  <c r="T33" s="249"/>
    </row>
    <row r="34" spans="1:20" ht="16" thickBot="1" x14ac:dyDescent="0.4">
      <c r="T34" s="250"/>
    </row>
    <row r="35" spans="1:20" ht="13.5" thickTop="1" x14ac:dyDescent="0.35">
      <c r="A35" s="9" t="s">
        <v>499</v>
      </c>
      <c r="C35" s="68"/>
      <c r="D35" s="71">
        <f>SUMIFS('CASH BOOK 2022'!$L:$L,'CASH BOOK 2022'!$C:$C,'CASHFLOW 2022'!D$1,'CASH BOOK 2022'!$E:$E,'CASHFLOW 2022'!$A35)</f>
        <v>250</v>
      </c>
      <c r="E35" s="71">
        <f>SUMIFS('CASH BOOK 2022'!$L:$L,'CASH BOOK 2022'!$C:$C,'CASHFLOW 2022'!E$1,'CASH BOOK 2022'!$E:$E,'CASHFLOW 2022'!$A35)</f>
        <v>200</v>
      </c>
      <c r="F35" s="71">
        <f>SUMIFS('CASH BOOK 2022'!$L:$L,'CASH BOOK 2022'!$C:$C,'CASHFLOW 2022'!F$1,'CASH BOOK 2022'!$E:$E,'CASHFLOW 2022'!$A35)</f>
        <v>250</v>
      </c>
      <c r="G35" s="71">
        <f>SUMIFS('CASH BOOK 2022'!$L:$L,'CASH BOOK 2022'!$C:$C,'CASHFLOW 2022'!G$1,'CASH BOOK 2022'!$E:$E,'CASHFLOW 2022'!$A35)</f>
        <v>250</v>
      </c>
      <c r="H35" s="71">
        <f>SUMIFS('CASH BOOK 2022'!$L:$L,'CASH BOOK 2022'!$C:$C,'CASHFLOW 2022'!H$1,'CASH BOOK 2022'!$E:$E,'CASHFLOW 2022'!$A35)</f>
        <v>0</v>
      </c>
      <c r="I35" s="71">
        <f>SUMIFS('CASH BOOK 2022'!$L:$L,'CASH BOOK 2022'!$C:$C,'CASHFLOW 2022'!I$1,'CASH BOOK 2022'!$E:$E,'CASHFLOW 2022'!$A35)</f>
        <v>100</v>
      </c>
      <c r="J35" s="71">
        <f>SUMIFS('CASH BOOK 2022'!$L:$L,'CASH BOOK 2022'!$C:$C,'CASHFLOW 2022'!J$1,'CASH BOOK 2022'!$E:$E,'CASHFLOW 2022'!$A35)</f>
        <v>100</v>
      </c>
      <c r="K35" s="71">
        <f>SUMIFS('CASH BOOK 2022'!$L:$L,'CASH BOOK 2022'!$C:$C,'CASHFLOW 2022'!K$1,'CASH BOOK 2022'!$E:$E,'CASHFLOW 2022'!$A35)</f>
        <v>200</v>
      </c>
      <c r="L35" s="71">
        <f>SUMIFS('CASH BOOK 2022'!$L:$L,'CASH BOOK 2022'!$C:$C,'CASHFLOW 2022'!L$1,'CASH BOOK 2022'!$E:$E,'CASHFLOW 2022'!$A35)</f>
        <v>50</v>
      </c>
      <c r="M35" s="71">
        <f>SUMIFS('CASH BOOK 2022'!$L:$L,'CASH BOOK 2022'!$C:$C,'CASHFLOW 2022'!M$1,'CASH BOOK 2022'!$E:$E,'CASHFLOW 2022'!$A35)</f>
        <v>150</v>
      </c>
      <c r="N35" s="71">
        <f>SUMIFS('CASH BOOK 2022'!$L:$L,'CASH BOOK 2022'!$C:$C,'CASHFLOW 2022'!N$1,'CASH BOOK 2022'!$E:$E,'CASHFLOW 2022'!$A35)</f>
        <v>50</v>
      </c>
      <c r="O35" s="71">
        <f>SUMIFS('CASH BOOK 2022'!$L:$L,'CASH BOOK 2022'!$C:$C,'CASHFLOW 2022'!O$1,'CASH BOOK 2022'!$E:$E,'CASHFLOW 2022'!$A35)</f>
        <v>0</v>
      </c>
      <c r="P35" s="69">
        <f>SUM(D35:O35)</f>
        <v>1600</v>
      </c>
      <c r="Q35" s="70"/>
      <c r="R35" s="93" t="s">
        <v>522</v>
      </c>
      <c r="S35" s="94"/>
    </row>
    <row r="36" spans="1:20" x14ac:dyDescent="0.35">
      <c r="A36" s="9" t="s">
        <v>504</v>
      </c>
      <c r="C36" s="68"/>
      <c r="D36" s="71">
        <f>SUMIFS('CASH BOOK 2022'!$L:$L,'CASH BOOK 2022'!$C:$C,'CASHFLOW 2022'!D$1,'CASH BOOK 2022'!$E:$E,'CASHFLOW 2022'!$A36)</f>
        <v>-250</v>
      </c>
      <c r="E36" s="71">
        <f>SUMIFS('CASH BOOK 2022'!$L:$L,'CASH BOOK 2022'!$C:$C,'CASHFLOW 2022'!E$1,'CASH BOOK 2022'!$E:$E,'CASHFLOW 2022'!$A36)</f>
        <v>-250</v>
      </c>
      <c r="F36" s="71">
        <f>SUMIFS('CASH BOOK 2022'!$L:$L,'CASH BOOK 2022'!$C:$C,'CASHFLOW 2022'!F$1,'CASH BOOK 2022'!$E:$E,'CASHFLOW 2022'!$A36)</f>
        <v>-100</v>
      </c>
      <c r="G36" s="71">
        <f>SUMIFS('CASH BOOK 2022'!$L:$L,'CASH BOOK 2022'!$C:$C,'CASHFLOW 2022'!G$1,'CASH BOOK 2022'!$E:$E,'CASHFLOW 2022'!$A36)</f>
        <v>0</v>
      </c>
      <c r="H36" s="71">
        <f>SUMIFS('CASH BOOK 2022'!$L:$L,'CASH BOOK 2022'!$C:$C,'CASHFLOW 2022'!H$1,'CASH BOOK 2022'!$E:$E,'CASHFLOW 2022'!$A36)</f>
        <v>-150</v>
      </c>
      <c r="I36" s="71">
        <f>SUMIFS('CASH BOOK 2022'!$L:$L,'CASH BOOK 2022'!$C:$C,'CASHFLOW 2022'!I$1,'CASH BOOK 2022'!$E:$E,'CASHFLOW 2022'!$A36)</f>
        <v>0</v>
      </c>
      <c r="J36" s="71">
        <f>SUMIFS('CASH BOOK 2022'!$L:$L,'CASH BOOK 2022'!$C:$C,'CASHFLOW 2022'!J$1,'CASH BOOK 2022'!$E:$E,'CASHFLOW 2022'!$A36)</f>
        <v>-503</v>
      </c>
      <c r="K36" s="71">
        <f>SUMIFS('CASH BOOK 2022'!$L:$L,'CASH BOOK 2022'!$C:$C,'CASHFLOW 2022'!K$1,'CASH BOOK 2022'!$E:$E,'CASHFLOW 2022'!$A36)</f>
        <v>-450</v>
      </c>
      <c r="L36" s="71">
        <f>SUMIFS('CASH BOOK 2022'!$L:$L,'CASH BOOK 2022'!$C:$C,'CASHFLOW 2022'!L$1,'CASH BOOK 2022'!$E:$E,'CASHFLOW 2022'!$A36)</f>
        <v>0</v>
      </c>
      <c r="M36" s="71">
        <f>SUMIFS('CASH BOOK 2022'!$L:$L,'CASH BOOK 2022'!$C:$C,'CASHFLOW 2022'!M$1,'CASH BOOK 2022'!$E:$E,'CASHFLOW 2022'!$A36)</f>
        <v>-150</v>
      </c>
      <c r="N36" s="71">
        <f>SUMIFS('CASH BOOK 2022'!$L:$L,'CASH BOOK 2022'!$C:$C,'CASHFLOW 2022'!N$1,'CASH BOOK 2022'!$E:$E,'CASHFLOW 2022'!$A36)</f>
        <v>0</v>
      </c>
      <c r="O36" s="71">
        <f>SUMIFS('CASH BOOK 2022'!$L:$L,'CASH BOOK 2022'!$C:$C,'CASHFLOW 2022'!O$1,'CASH BOOK 2022'!$E:$E,'CASHFLOW 2022'!$A36)</f>
        <v>-150</v>
      </c>
      <c r="P36" s="69">
        <f>SUM(D36:O36)</f>
        <v>-2003</v>
      </c>
      <c r="Q36" s="70"/>
      <c r="R36" s="95"/>
      <c r="S36" s="96"/>
    </row>
    <row r="37" spans="1:20" s="80" customFormat="1" ht="13.5" thickBot="1" x14ac:dyDescent="0.4">
      <c r="A37" s="80" t="s">
        <v>506</v>
      </c>
      <c r="C37" s="119">
        <f>'CASHFLOW 2021'!R37</f>
        <v>1053</v>
      </c>
      <c r="D37" s="90">
        <f>SUM(D35:D36)</f>
        <v>0</v>
      </c>
      <c r="E37" s="90">
        <f t="shared" ref="E37:P37" si="5">SUM(E35:E36)</f>
        <v>-50</v>
      </c>
      <c r="F37" s="90">
        <f t="shared" si="5"/>
        <v>150</v>
      </c>
      <c r="G37" s="90">
        <f t="shared" si="5"/>
        <v>250</v>
      </c>
      <c r="H37" s="90">
        <f t="shared" si="5"/>
        <v>-150</v>
      </c>
      <c r="I37" s="90">
        <f t="shared" si="5"/>
        <v>100</v>
      </c>
      <c r="J37" s="90">
        <f t="shared" si="5"/>
        <v>-403</v>
      </c>
      <c r="K37" s="90">
        <f t="shared" si="5"/>
        <v>-250</v>
      </c>
      <c r="L37" s="90">
        <f t="shared" si="5"/>
        <v>50</v>
      </c>
      <c r="M37" s="90">
        <f t="shared" si="5"/>
        <v>0</v>
      </c>
      <c r="N37" s="90">
        <f t="shared" si="5"/>
        <v>50</v>
      </c>
      <c r="O37" s="90">
        <f t="shared" si="5"/>
        <v>-150</v>
      </c>
      <c r="P37" s="90">
        <f t="shared" si="5"/>
        <v>-403</v>
      </c>
      <c r="Q37" s="91"/>
      <c r="R37" s="97">
        <f>C37+P37</f>
        <v>650</v>
      </c>
      <c r="S37" s="98"/>
    </row>
    <row r="38" spans="1:20" ht="13.5" thickTop="1" x14ac:dyDescent="0.3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1:20" s="80" customFormat="1" x14ac:dyDescent="0.35">
      <c r="A39" s="80" t="s">
        <v>508</v>
      </c>
      <c r="C39" s="81">
        <f>'CASH BOOK 2021'!L336</f>
        <v>5725.5599999999868</v>
      </c>
      <c r="D39" s="84">
        <f t="shared" ref="D39:O39" si="6">C39+D32+D37</f>
        <v>11364.739999999987</v>
      </c>
      <c r="E39" s="84">
        <f t="shared" si="6"/>
        <v>9280.2599999999875</v>
      </c>
      <c r="F39" s="84">
        <f t="shared" si="6"/>
        <v>8697.6499999999869</v>
      </c>
      <c r="G39" s="84">
        <f t="shared" si="6"/>
        <v>6261.1599999999871</v>
      </c>
      <c r="H39" s="84">
        <f t="shared" si="6"/>
        <v>7730.1099999999869</v>
      </c>
      <c r="I39" s="84">
        <f t="shared" si="6"/>
        <v>6976.6899999999869</v>
      </c>
      <c r="J39" s="84">
        <f t="shared" si="6"/>
        <v>5372.3299999999872</v>
      </c>
      <c r="K39" s="84">
        <f t="shared" si="6"/>
        <v>4411.1499999999869</v>
      </c>
      <c r="L39" s="84">
        <f t="shared" si="6"/>
        <v>7743.9399999999869</v>
      </c>
      <c r="M39" s="84">
        <f t="shared" si="6"/>
        <v>8498.7899999999863</v>
      </c>
      <c r="N39" s="84">
        <f t="shared" si="6"/>
        <v>7712.9299999999857</v>
      </c>
      <c r="O39" s="84">
        <f t="shared" si="6"/>
        <v>5786.4999999999854</v>
      </c>
      <c r="P39" s="84">
        <f>O39</f>
        <v>5786.4999999999854</v>
      </c>
      <c r="Q39" s="82"/>
    </row>
    <row r="40" spans="1:20" s="80" customFormat="1" x14ac:dyDescent="0.35">
      <c r="A40" s="80" t="s">
        <v>1331</v>
      </c>
      <c r="C40" s="81">
        <f>'CASHFLOW 2021'!R41</f>
        <v>35096.339999999997</v>
      </c>
      <c r="D40" s="84">
        <f>-D28</f>
        <v>0</v>
      </c>
      <c r="E40" s="84">
        <f t="shared" ref="E40:O40" si="7">-E28</f>
        <v>5000</v>
      </c>
      <c r="F40" s="84">
        <f t="shared" si="7"/>
        <v>0</v>
      </c>
      <c r="G40" s="84">
        <f t="shared" si="7"/>
        <v>0</v>
      </c>
      <c r="H40" s="84">
        <f t="shared" si="7"/>
        <v>0</v>
      </c>
      <c r="I40" s="84">
        <f t="shared" si="7"/>
        <v>0</v>
      </c>
      <c r="J40" s="84">
        <f t="shared" si="7"/>
        <v>0</v>
      </c>
      <c r="K40" s="84">
        <f t="shared" si="7"/>
        <v>0</v>
      </c>
      <c r="L40" s="84">
        <f t="shared" si="7"/>
        <v>0</v>
      </c>
      <c r="M40" s="84">
        <f t="shared" si="7"/>
        <v>0</v>
      </c>
      <c r="N40" s="84">
        <f t="shared" si="7"/>
        <v>0</v>
      </c>
      <c r="O40" s="84">
        <f t="shared" si="7"/>
        <v>0</v>
      </c>
      <c r="P40" s="90">
        <f>SUM(C40:O40)</f>
        <v>40096.339999999997</v>
      </c>
      <c r="Q40" s="82"/>
    </row>
    <row r="41" spans="1:20" s="80" customFormat="1" x14ac:dyDescent="0.35">
      <c r="A41" s="80" t="s">
        <v>1399</v>
      </c>
      <c r="C41" s="81"/>
      <c r="D41" s="84"/>
      <c r="E41" s="84"/>
      <c r="F41" s="84"/>
      <c r="G41" s="84"/>
      <c r="H41" s="84"/>
      <c r="I41" s="84">
        <v>22.8</v>
      </c>
      <c r="J41" s="84"/>
      <c r="K41" s="84"/>
      <c r="L41" s="84"/>
      <c r="M41" s="84">
        <v>89.9</v>
      </c>
      <c r="N41" s="84"/>
      <c r="O41" s="84"/>
      <c r="P41" s="90">
        <f>SUM(D41:O41)</f>
        <v>112.7</v>
      </c>
      <c r="Q41" s="82"/>
    </row>
    <row r="42" spans="1:20" x14ac:dyDescent="0.35">
      <c r="C42" s="68"/>
      <c r="D42" s="71">
        <f>SUMIFS('CASH BOOK 2017'!$K:$K,'CASH BOOK 2017'!$B:$B,'CASHFLOW 2022'!D$1,'CASH BOOK 2017'!$D:$D,'CASHFLOW 2022'!$A42)</f>
        <v>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92">
        <f>SUM(D42:O42)</f>
        <v>0</v>
      </c>
      <c r="Q42" s="70">
        <v>0</v>
      </c>
    </row>
    <row r="43" spans="1:20" x14ac:dyDescent="0.35">
      <c r="C43" s="68"/>
      <c r="D43" s="71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>
        <f>SUM(D43:O43)</f>
        <v>0</v>
      </c>
      <c r="Q43" s="70">
        <v>150</v>
      </c>
    </row>
    <row r="44" spans="1:20" s="80" customFormat="1" x14ac:dyDescent="0.35">
      <c r="A44" s="79" t="s">
        <v>509</v>
      </c>
      <c r="B44" s="79"/>
      <c r="C44" s="83"/>
      <c r="D44" s="83">
        <f>SUM(D42:D43)</f>
        <v>0</v>
      </c>
      <c r="E44" s="83">
        <f t="shared" ref="E44:P44" si="8">SUM(E42:E43)</f>
        <v>0</v>
      </c>
      <c r="F44" s="83">
        <f t="shared" si="8"/>
        <v>0</v>
      </c>
      <c r="G44" s="83">
        <f t="shared" si="8"/>
        <v>0</v>
      </c>
      <c r="H44" s="83">
        <f t="shared" si="8"/>
        <v>0</v>
      </c>
      <c r="I44" s="83">
        <f t="shared" si="8"/>
        <v>0</v>
      </c>
      <c r="J44" s="83">
        <f t="shared" si="8"/>
        <v>0</v>
      </c>
      <c r="K44" s="83">
        <f t="shared" si="8"/>
        <v>0</v>
      </c>
      <c r="L44" s="83">
        <f t="shared" si="8"/>
        <v>0</v>
      </c>
      <c r="M44" s="83">
        <f t="shared" si="8"/>
        <v>0</v>
      </c>
      <c r="N44" s="83">
        <f t="shared" si="8"/>
        <v>0</v>
      </c>
      <c r="O44" s="83">
        <f t="shared" si="8"/>
        <v>0</v>
      </c>
      <c r="P44" s="83">
        <f t="shared" si="8"/>
        <v>0</v>
      </c>
      <c r="Q44" s="82"/>
    </row>
    <row r="46" spans="1:20" x14ac:dyDescent="0.35">
      <c r="A46" s="9" t="s">
        <v>15</v>
      </c>
      <c r="C46" s="68">
        <f>'ACCOUNTS 21'!G48</f>
        <v>0</v>
      </c>
      <c r="D46" s="71">
        <f>C46+D44</f>
        <v>0</v>
      </c>
      <c r="E46" s="71">
        <f t="shared" ref="E46:O46" si="9">D46+E44</f>
        <v>0</v>
      </c>
      <c r="F46" s="71">
        <f t="shared" si="9"/>
        <v>0</v>
      </c>
      <c r="G46" s="71">
        <f t="shared" si="9"/>
        <v>0</v>
      </c>
      <c r="H46" s="71">
        <f t="shared" si="9"/>
        <v>0</v>
      </c>
      <c r="I46" s="71">
        <f t="shared" si="9"/>
        <v>0</v>
      </c>
      <c r="J46" s="71">
        <f t="shared" si="9"/>
        <v>0</v>
      </c>
      <c r="K46" s="71">
        <f t="shared" si="9"/>
        <v>0</v>
      </c>
      <c r="L46" s="71">
        <f t="shared" si="9"/>
        <v>0</v>
      </c>
      <c r="M46" s="71">
        <f t="shared" si="9"/>
        <v>0</v>
      </c>
      <c r="N46" s="71">
        <f t="shared" si="9"/>
        <v>0</v>
      </c>
      <c r="O46" s="71">
        <f t="shared" si="9"/>
        <v>0</v>
      </c>
      <c r="P46" s="71">
        <f>O46</f>
        <v>0</v>
      </c>
      <c r="Q46" s="70"/>
    </row>
    <row r="48" spans="1:20" s="85" customFormat="1" x14ac:dyDescent="0.35">
      <c r="A48" s="85" t="s">
        <v>510</v>
      </c>
      <c r="C48" s="86"/>
      <c r="D48" s="8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8"/>
      <c r="Q48" s="89"/>
    </row>
    <row r="49" spans="1:17" s="85" customFormat="1" x14ac:dyDescent="0.35">
      <c r="A49" s="85" t="s">
        <v>511</v>
      </c>
      <c r="C49" s="86"/>
      <c r="D49" s="8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8"/>
      <c r="Q49" s="89"/>
    </row>
    <row r="50" spans="1:17" x14ac:dyDescent="0.3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0"/>
    </row>
    <row r="51" spans="1:17" x14ac:dyDescent="0.35"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1:17" x14ac:dyDescent="0.3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70"/>
    </row>
    <row r="53" spans="1:17" x14ac:dyDescent="0.3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/>
    </row>
    <row r="54" spans="1:17" x14ac:dyDescent="0.3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70"/>
    </row>
    <row r="55" spans="1:17" x14ac:dyDescent="0.3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70"/>
    </row>
  </sheetData>
  <pageMargins left="0.74803149606299213" right="0.74803149606299213" top="0.98425196850393704" bottom="0.98425196850393704" header="0.51181102362204722" footer="0.51181102362204722"/>
  <pageSetup paperSize="9" scale="59" orientation="landscape"/>
  <headerFooter alignWithMargins="0">
    <oddHeader>&amp;L&amp;"Arial,Bold"Year ended 31 December 2017
&amp;C&amp;"Trebuchet MS,Bold"WILLASTON MEMORIAL HALL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86"/>
  <sheetViews>
    <sheetView workbookViewId="0">
      <selection activeCell="I28" sqref="I28"/>
    </sheetView>
  </sheetViews>
  <sheetFormatPr defaultColWidth="8.7265625" defaultRowHeight="12.5" outlineLevelCol="1" x14ac:dyDescent="0.25"/>
  <cols>
    <col min="1" max="1" width="37.1796875" bestFit="1" customWidth="1"/>
    <col min="2" max="2" width="8.7265625" style="1"/>
    <col min="3" max="3" width="11.453125" style="1" hidden="1" customWidth="1" outlineLevel="1"/>
    <col min="4" max="4" width="1.6328125" style="1" customWidth="1" collapsed="1"/>
    <col min="5" max="5" width="11.453125" style="1" hidden="1" customWidth="1" outlineLevel="1"/>
    <col min="6" max="6" width="1.6328125" style="1" customWidth="1" collapsed="1"/>
    <col min="7" max="7" width="12.36328125" style="1" customWidth="1"/>
    <col min="8" max="8" width="1.6328125" style="1" customWidth="1" collapsed="1"/>
    <col min="9" max="9" width="12.36328125" style="1" customWidth="1"/>
    <col min="10" max="10" width="1.6328125" style="1" customWidth="1" collapsed="1"/>
    <col min="11" max="12" width="12.6328125" style="1" customWidth="1"/>
    <col min="13" max="13" width="11.08984375" style="101" customWidth="1"/>
    <col min="14" max="15" width="9.81640625" style="101" bestFit="1" customWidth="1"/>
    <col min="16" max="16" width="6.6328125" style="1" customWidth="1"/>
    <col min="17" max="17" width="6.6328125" style="21" customWidth="1"/>
    <col min="18" max="18" width="2.453125" style="21" customWidth="1"/>
    <col min="19" max="19" width="6.6328125" style="21" customWidth="1"/>
    <col min="20" max="16384" width="8.7265625" style="1"/>
  </cols>
  <sheetData>
    <row r="1" spans="1:25" ht="15.5" x14ac:dyDescent="0.35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99"/>
      <c r="N1" s="102"/>
      <c r="O1" s="99"/>
      <c r="P1" s="6"/>
    </row>
    <row r="2" spans="1:25" ht="15.5" x14ac:dyDescent="0.35">
      <c r="A2" s="138"/>
      <c r="B2" s="139"/>
      <c r="C2" s="139"/>
      <c r="D2" s="140" t="s">
        <v>0</v>
      </c>
      <c r="E2" s="139"/>
      <c r="F2" s="140"/>
      <c r="G2" s="139"/>
      <c r="H2" s="140"/>
      <c r="I2" s="139"/>
      <c r="J2" s="140"/>
      <c r="K2" s="139"/>
      <c r="L2" s="139"/>
      <c r="M2" s="99"/>
      <c r="N2" s="99"/>
      <c r="O2" s="99"/>
      <c r="P2" s="6"/>
    </row>
    <row r="3" spans="1:25" ht="15.5" x14ac:dyDescent="0.3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99"/>
      <c r="N3" s="99"/>
      <c r="O3" s="99"/>
      <c r="P3" s="6"/>
    </row>
    <row r="4" spans="1:25" ht="15.5" x14ac:dyDescent="0.35">
      <c r="A4" s="138"/>
      <c r="B4" s="141"/>
      <c r="C4" s="142"/>
      <c r="D4" s="141"/>
      <c r="F4" s="142" t="s">
        <v>1891</v>
      </c>
      <c r="G4" s="141"/>
      <c r="H4" s="141"/>
      <c r="I4" s="141"/>
      <c r="J4" s="141"/>
      <c r="K4" s="141"/>
      <c r="L4" s="141"/>
      <c r="M4" s="103"/>
      <c r="N4" s="103"/>
      <c r="O4" s="99"/>
      <c r="P4" s="6"/>
    </row>
    <row r="5" spans="1:25" ht="15.5" x14ac:dyDescent="0.35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43"/>
      <c r="M5" s="99"/>
      <c r="N5" s="99"/>
      <c r="O5" s="99"/>
      <c r="P5" s="6"/>
    </row>
    <row r="6" spans="1:25" ht="15.5" x14ac:dyDescent="0.35">
      <c r="A6" s="139"/>
      <c r="B6" s="139"/>
      <c r="C6" s="144"/>
      <c r="D6" s="139"/>
      <c r="E6" s="144"/>
      <c r="F6" s="139"/>
      <c r="G6" s="144"/>
      <c r="H6" s="139"/>
      <c r="I6" s="144"/>
      <c r="J6" s="139"/>
      <c r="K6" s="247"/>
      <c r="N6" s="166" t="s">
        <v>1468</v>
      </c>
      <c r="O6" s="317" t="s">
        <v>1469</v>
      </c>
      <c r="P6" s="101"/>
      <c r="Q6" s="333" t="s">
        <v>1704</v>
      </c>
    </row>
    <row r="7" spans="1:25" ht="15.5" x14ac:dyDescent="0.35">
      <c r="A7" s="146"/>
      <c r="B7" s="146"/>
      <c r="C7" s="147">
        <v>2016</v>
      </c>
      <c r="D7" s="139"/>
      <c r="E7" s="147">
        <v>2017</v>
      </c>
      <c r="F7" s="139"/>
      <c r="G7" s="147">
        <v>2020</v>
      </c>
      <c r="H7" s="139"/>
      <c r="I7" s="147">
        <v>2021</v>
      </c>
      <c r="J7" s="139"/>
      <c r="K7" s="247"/>
      <c r="N7" s="299" t="s">
        <v>1467</v>
      </c>
      <c r="O7" s="318" t="s">
        <v>1467</v>
      </c>
      <c r="P7" s="101"/>
      <c r="Q7" s="334" t="s">
        <v>1705</v>
      </c>
      <c r="V7" s="36"/>
    </row>
    <row r="8" spans="1:25" s="22" customFormat="1" ht="15.5" x14ac:dyDescent="0.35">
      <c r="A8" s="148" t="s">
        <v>1</v>
      </c>
      <c r="B8" s="140"/>
      <c r="C8" s="149"/>
      <c r="D8" s="150"/>
      <c r="E8" s="149"/>
      <c r="F8" s="150"/>
      <c r="G8" s="149"/>
      <c r="H8" s="150"/>
      <c r="I8" s="149"/>
      <c r="J8" s="150"/>
      <c r="K8" s="319"/>
      <c r="N8" s="294"/>
      <c r="O8" s="307"/>
      <c r="V8" s="37"/>
    </row>
    <row r="9" spans="1:25" s="22" customFormat="1" ht="15.5" x14ac:dyDescent="0.35">
      <c r="A9" s="150"/>
      <c r="B9" s="140"/>
      <c r="C9" s="149"/>
      <c r="D9" s="150"/>
      <c r="E9" s="149"/>
      <c r="F9" s="150"/>
      <c r="G9" s="149"/>
      <c r="H9" s="150"/>
      <c r="I9" s="149"/>
      <c r="J9" s="150"/>
      <c r="K9" s="319"/>
      <c r="N9" s="294"/>
      <c r="O9" s="307"/>
      <c r="V9" s="37"/>
    </row>
    <row r="10" spans="1:25" ht="15.5" x14ac:dyDescent="0.35">
      <c r="A10" s="151" t="s">
        <v>2</v>
      </c>
      <c r="B10" s="151"/>
      <c r="C10" s="152">
        <v>12528.9</v>
      </c>
      <c r="D10" s="151"/>
      <c r="E10" s="152">
        <f>+'CASHFLOW 2017'!P3</f>
        <v>17898.53</v>
      </c>
      <c r="F10" s="151"/>
      <c r="G10" s="152">
        <v>13440.95</v>
      </c>
      <c r="H10" s="151"/>
      <c r="I10" s="152">
        <f>+'CASHFLOW 2021'!P3</f>
        <v>13686.109999999999</v>
      </c>
      <c r="J10" s="151"/>
      <c r="K10" s="247"/>
      <c r="N10" s="166">
        <f>'Budget 2021'!D14</f>
        <v>12790</v>
      </c>
      <c r="O10" s="308">
        <f>'Budget 2021'!H14</f>
        <v>13845</v>
      </c>
      <c r="P10" s="101"/>
      <c r="Q10" s="335">
        <v>17000</v>
      </c>
      <c r="V10" s="36"/>
    </row>
    <row r="11" spans="1:25" ht="15.5" x14ac:dyDescent="0.35">
      <c r="A11" s="151" t="s">
        <v>3</v>
      </c>
      <c r="B11" s="151"/>
      <c r="C11" s="144">
        <v>4960.3</v>
      </c>
      <c r="D11" s="151"/>
      <c r="E11" s="144">
        <f>+'CASHFLOW 2017'!P4</f>
        <v>5356.9</v>
      </c>
      <c r="F11" s="151"/>
      <c r="G11" s="152">
        <v>1938</v>
      </c>
      <c r="H11" s="151"/>
      <c r="I11" s="152">
        <f>+'CASHFLOW 2021'!P4</f>
        <v>4622</v>
      </c>
      <c r="J11" s="151"/>
      <c r="K11" s="247"/>
      <c r="N11" s="166">
        <f>'Budget 2021'!D20</f>
        <v>900</v>
      </c>
      <c r="O11" s="308">
        <f>'Budget 2021'!H20</f>
        <v>2880</v>
      </c>
      <c r="P11" s="101"/>
      <c r="Q11" s="335">
        <v>5000</v>
      </c>
      <c r="V11" s="36"/>
    </row>
    <row r="12" spans="1:25" ht="15.5" x14ac:dyDescent="0.35">
      <c r="A12" s="151" t="s">
        <v>620</v>
      </c>
      <c r="B12" s="151"/>
      <c r="C12" s="144">
        <f>3238.19-C15</f>
        <v>140</v>
      </c>
      <c r="D12" s="151"/>
      <c r="E12" s="144">
        <f>+'CASHFLOW 2017'!P5</f>
        <v>105</v>
      </c>
      <c r="F12" s="151"/>
      <c r="G12" s="152">
        <v>5650.58</v>
      </c>
      <c r="H12" s="151"/>
      <c r="I12" s="152">
        <f>+'CASHFLOW 2021'!P5</f>
        <v>0</v>
      </c>
      <c r="J12" s="151"/>
      <c r="K12" s="247"/>
      <c r="N12" s="166">
        <v>100</v>
      </c>
      <c r="O12" s="308">
        <v>100</v>
      </c>
      <c r="P12" s="101"/>
      <c r="Q12" s="335">
        <v>100</v>
      </c>
      <c r="V12" s="36"/>
    </row>
    <row r="13" spans="1:25" ht="15.5" hidden="1" x14ac:dyDescent="0.35">
      <c r="A13" s="153" t="s">
        <v>319</v>
      </c>
      <c r="B13" s="151"/>
      <c r="C13" s="144"/>
      <c r="D13" s="151"/>
      <c r="E13" s="144"/>
      <c r="F13" s="151"/>
      <c r="G13" s="144"/>
      <c r="H13" s="151"/>
      <c r="I13" s="144"/>
      <c r="J13" s="151"/>
      <c r="K13" s="247"/>
      <c r="N13" s="166"/>
      <c r="O13" s="308"/>
      <c r="P13" s="101"/>
      <c r="Q13" s="335"/>
      <c r="V13" s="38"/>
      <c r="W13" s="4"/>
      <c r="X13" s="4"/>
      <c r="Y13" s="4"/>
    </row>
    <row r="14" spans="1:25" ht="15.5" hidden="1" x14ac:dyDescent="0.35">
      <c r="A14" s="151" t="s">
        <v>434</v>
      </c>
      <c r="B14" s="151"/>
      <c r="C14" s="144">
        <v>0</v>
      </c>
      <c r="D14" s="151"/>
      <c r="E14" s="144">
        <f>'CASHFLOW 2017'!P6</f>
        <v>13221.12</v>
      </c>
      <c r="F14" s="151"/>
      <c r="G14" s="152">
        <f>+'CASHFLOW 2018'!P6</f>
        <v>0</v>
      </c>
      <c r="H14" s="151"/>
      <c r="I14" s="152">
        <f>+'CASHFLOW 2020'!P6</f>
        <v>0</v>
      </c>
      <c r="J14" s="151"/>
      <c r="K14" s="247"/>
      <c r="N14" s="166"/>
      <c r="O14" s="308"/>
      <c r="P14" s="101"/>
      <c r="Q14" s="335"/>
      <c r="V14" s="38"/>
      <c r="W14" s="4"/>
      <c r="X14" s="4"/>
      <c r="Y14" s="4"/>
    </row>
    <row r="15" spans="1:25" ht="15.5" hidden="1" x14ac:dyDescent="0.35">
      <c r="A15" s="151" t="s">
        <v>318</v>
      </c>
      <c r="B15" s="151"/>
      <c r="C15" s="144">
        <v>3098.19</v>
      </c>
      <c r="D15" s="151"/>
      <c r="E15" s="144">
        <f>'CASHFLOW 2017'!P7</f>
        <v>8580</v>
      </c>
      <c r="F15" s="151"/>
      <c r="G15" s="152">
        <f>+'CASHFLOW 2018'!P7</f>
        <v>0</v>
      </c>
      <c r="H15" s="151"/>
      <c r="I15" s="152">
        <f>+'CASHFLOW 2020'!P7</f>
        <v>1000</v>
      </c>
      <c r="J15" s="151"/>
      <c r="K15" s="247"/>
      <c r="N15" s="166"/>
      <c r="O15" s="308"/>
      <c r="P15" s="101"/>
      <c r="Q15" s="335"/>
      <c r="V15" s="38"/>
      <c r="W15" s="4"/>
      <c r="X15" s="4"/>
      <c r="Y15" s="4"/>
    </row>
    <row r="16" spans="1:25" ht="15.5" hidden="1" x14ac:dyDescent="0.35">
      <c r="A16" s="151" t="s">
        <v>38</v>
      </c>
      <c r="B16" s="151"/>
      <c r="C16" s="144">
        <v>0</v>
      </c>
      <c r="D16" s="151"/>
      <c r="E16" s="144">
        <f>+'CASHFLOW 2017'!P9</f>
        <v>0</v>
      </c>
      <c r="F16" s="151"/>
      <c r="G16" s="152">
        <f>+'CASHFLOW 2018'!P9</f>
        <v>0</v>
      </c>
      <c r="H16" s="151"/>
      <c r="I16" s="152">
        <f>+'CASHFLOW 2020'!P9</f>
        <v>0</v>
      </c>
      <c r="J16" s="151"/>
      <c r="K16" s="247"/>
      <c r="N16" s="166"/>
      <c r="O16" s="308"/>
      <c r="P16" s="101"/>
      <c r="Q16" s="335"/>
      <c r="V16" s="36"/>
    </row>
    <row r="17" spans="1:22" s="13" customFormat="1" ht="15.5" x14ac:dyDescent="0.35">
      <c r="A17" s="151" t="s">
        <v>4</v>
      </c>
      <c r="B17" s="151"/>
      <c r="C17" s="152">
        <v>602.89</v>
      </c>
      <c r="D17" s="151"/>
      <c r="E17" s="152">
        <f>+'CASHFLOW 2017'!P8+'CASHFLOW 2017'!P41</f>
        <v>153.78</v>
      </c>
      <c r="F17" s="151"/>
      <c r="G17" s="152">
        <v>155.22</v>
      </c>
      <c r="H17" s="151"/>
      <c r="I17" s="152">
        <f>'CASHFLOW 2021'!P43+'CASHFLOW 2021'!P41</f>
        <v>37.58</v>
      </c>
      <c r="J17" s="151"/>
      <c r="K17" s="247"/>
      <c r="N17" s="166">
        <v>150</v>
      </c>
      <c r="O17" s="309">
        <v>150</v>
      </c>
      <c r="Q17" s="336">
        <v>70</v>
      </c>
      <c r="V17" s="36"/>
    </row>
    <row r="18" spans="1:22" s="13" customFormat="1" ht="15.5" x14ac:dyDescent="0.35">
      <c r="A18" s="151" t="s">
        <v>5</v>
      </c>
      <c r="B18" s="151"/>
      <c r="C18" s="144">
        <v>744.39</v>
      </c>
      <c r="D18" s="151"/>
      <c r="E18" s="144">
        <f>+'CASHFLOW 2017'!P11</f>
        <v>560.88</v>
      </c>
      <c r="F18" s="151"/>
      <c r="G18" s="152">
        <v>150</v>
      </c>
      <c r="H18" s="151"/>
      <c r="I18" s="316">
        <f>+'CASHFLOW 2021'!P10</f>
        <v>0</v>
      </c>
      <c r="J18" s="151"/>
      <c r="K18" s="247"/>
      <c r="N18" s="166">
        <f>'Budget 2021'!D23</f>
        <v>0</v>
      </c>
      <c r="O18" s="308">
        <f>'Budget 2021'!H23</f>
        <v>300</v>
      </c>
      <c r="Q18" s="336">
        <v>300</v>
      </c>
      <c r="V18" s="36"/>
    </row>
    <row r="19" spans="1:22" ht="15.5" x14ac:dyDescent="0.35">
      <c r="A19" s="151" t="s">
        <v>1405</v>
      </c>
      <c r="G19" s="156">
        <v>1000</v>
      </c>
      <c r="I19" s="315">
        <f>+'CASHFLOW 2021'!P7</f>
        <v>0</v>
      </c>
      <c r="K19" s="320"/>
      <c r="N19" s="166">
        <v>0</v>
      </c>
      <c r="O19" s="312">
        <v>0</v>
      </c>
      <c r="P19" s="101"/>
      <c r="Q19" s="335">
        <v>0</v>
      </c>
      <c r="V19" s="36"/>
    </row>
    <row r="20" spans="1:22" ht="15.5" x14ac:dyDescent="0.35">
      <c r="A20" s="151"/>
      <c r="B20" s="151"/>
      <c r="C20" s="154"/>
      <c r="D20" s="151"/>
      <c r="E20" s="154"/>
      <c r="F20" s="151"/>
      <c r="G20" s="154"/>
      <c r="H20" s="151"/>
      <c r="I20" s="154"/>
      <c r="J20" s="151"/>
      <c r="K20" s="247"/>
      <c r="N20" s="166"/>
      <c r="O20" s="310"/>
      <c r="P20" s="101"/>
      <c r="Q20" s="335"/>
      <c r="V20" s="36"/>
    </row>
    <row r="21" spans="1:22" ht="15.5" x14ac:dyDescent="0.35">
      <c r="A21" s="151"/>
      <c r="B21" s="151"/>
      <c r="C21" s="155">
        <f>SUM(C10:C18)</f>
        <v>22074.67</v>
      </c>
      <c r="D21" s="151"/>
      <c r="E21" s="155">
        <f>SUM(E10:E18)</f>
        <v>45876.21</v>
      </c>
      <c r="F21" s="151"/>
      <c r="G21" s="155">
        <f>SUM(G10:G19)</f>
        <v>22334.75</v>
      </c>
      <c r="H21" s="151"/>
      <c r="I21" s="155">
        <f>+I10+I11+I12+I17+I18+I19</f>
        <v>18345.690000000002</v>
      </c>
      <c r="J21" s="151"/>
      <c r="K21" s="247"/>
      <c r="N21" s="295">
        <f>SUM(N9:N18)</f>
        <v>13940</v>
      </c>
      <c r="O21" s="311">
        <f>SUM(O9:O18)</f>
        <v>17275</v>
      </c>
      <c r="P21" s="101"/>
      <c r="Q21" s="337">
        <f>SUM(Q9:Q18)</f>
        <v>22470</v>
      </c>
      <c r="V21" s="36"/>
    </row>
    <row r="22" spans="1:22" ht="15.5" x14ac:dyDescent="0.35">
      <c r="A22" s="148" t="s">
        <v>6</v>
      </c>
      <c r="B22" s="151"/>
      <c r="C22" s="144"/>
      <c r="D22" s="151"/>
      <c r="E22" s="144"/>
      <c r="F22" s="151"/>
      <c r="G22" s="144"/>
      <c r="H22" s="151"/>
      <c r="I22" s="144"/>
      <c r="J22" s="151"/>
      <c r="K22" s="247"/>
      <c r="N22" s="166"/>
      <c r="O22" s="310"/>
      <c r="P22" s="101"/>
      <c r="Q22" s="335"/>
      <c r="V22" s="36"/>
    </row>
    <row r="23" spans="1:22" ht="15.5" x14ac:dyDescent="0.35">
      <c r="A23" s="150"/>
      <c r="B23" s="151"/>
      <c r="C23" s="144"/>
      <c r="D23" s="151"/>
      <c r="E23" s="144"/>
      <c r="F23" s="151"/>
      <c r="G23" s="144"/>
      <c r="H23" s="151"/>
      <c r="I23" s="144"/>
      <c r="J23" s="151"/>
      <c r="K23" s="247"/>
      <c r="N23" s="166"/>
      <c r="O23" s="310"/>
      <c r="P23" s="101"/>
      <c r="Q23" s="335"/>
      <c r="V23" s="36"/>
    </row>
    <row r="24" spans="1:22" ht="15.5" x14ac:dyDescent="0.35">
      <c r="A24" s="139" t="s">
        <v>7</v>
      </c>
      <c r="B24" s="151"/>
      <c r="C24" s="144">
        <v>-1814.23</v>
      </c>
      <c r="D24" s="151"/>
      <c r="E24" s="144">
        <f>+'CASHFLOW 2017'!P14</f>
        <v>-370.68</v>
      </c>
      <c r="F24" s="151"/>
      <c r="G24" s="152">
        <v>-3843.85</v>
      </c>
      <c r="H24" s="151"/>
      <c r="I24" s="152">
        <f>+'CASHFLOW 2021'!P14</f>
        <v>-5124.3599999999997</v>
      </c>
      <c r="J24" s="151"/>
      <c r="K24" s="247"/>
      <c r="N24" s="166">
        <f>'Budget 2021'!D28</f>
        <v>-5000</v>
      </c>
      <c r="O24" s="312">
        <f>'Budget 2021'!H28</f>
        <v>-4000</v>
      </c>
      <c r="P24" s="101"/>
      <c r="Q24" s="335">
        <v>-6000</v>
      </c>
      <c r="V24" s="36"/>
    </row>
    <row r="25" spans="1:22" ht="15.5" hidden="1" x14ac:dyDescent="0.35">
      <c r="A25" s="139" t="s">
        <v>417</v>
      </c>
      <c r="B25" s="151"/>
      <c r="C25" s="144">
        <v>-26687.279999999999</v>
      </c>
      <c r="D25" s="151"/>
      <c r="E25" s="144">
        <f>'CASHFLOW 2017'!P15</f>
        <v>-4554.63</v>
      </c>
      <c r="F25" s="151"/>
      <c r="G25" s="152">
        <f>+'CASHFLOW 2018'!P15</f>
        <v>0</v>
      </c>
      <c r="H25" s="151"/>
      <c r="I25" s="152">
        <f>+'CASHFLOW 2020'!P15</f>
        <v>0</v>
      </c>
      <c r="J25" s="151"/>
      <c r="K25" s="247"/>
      <c r="N25" s="166"/>
      <c r="O25" s="312"/>
      <c r="P25" s="101"/>
      <c r="Q25" s="335"/>
      <c r="V25" s="36"/>
    </row>
    <row r="26" spans="1:22" ht="15.5" hidden="1" x14ac:dyDescent="0.35">
      <c r="A26" s="156" t="s">
        <v>74</v>
      </c>
      <c r="B26" s="151"/>
      <c r="C26" s="144">
        <v>-3244.97</v>
      </c>
      <c r="D26" s="143"/>
      <c r="E26" s="144">
        <f>+'CASHFLOW 2017'!P16</f>
        <v>0</v>
      </c>
      <c r="F26" s="143"/>
      <c r="G26" s="152">
        <f>+'CASHFLOW 2018'!P16</f>
        <v>0</v>
      </c>
      <c r="H26" s="143"/>
      <c r="I26" s="152">
        <f>+'CASHFLOW 2020'!P16</f>
        <v>0</v>
      </c>
      <c r="J26" s="143"/>
      <c r="K26" s="247"/>
      <c r="N26" s="166"/>
      <c r="O26" s="312"/>
      <c r="P26" s="101"/>
      <c r="Q26" s="335"/>
      <c r="V26" s="36"/>
    </row>
    <row r="27" spans="1:22" ht="15.5" hidden="1" x14ac:dyDescent="0.35">
      <c r="A27" s="156" t="s">
        <v>525</v>
      </c>
      <c r="B27" s="151"/>
      <c r="C27" s="144">
        <v>0</v>
      </c>
      <c r="D27" s="143"/>
      <c r="E27" s="144">
        <f>'CASHFLOW 2017'!P17</f>
        <v>-28428.58</v>
      </c>
      <c r="F27" s="143"/>
      <c r="G27" s="152">
        <f>+'CASHFLOW 2018'!P17</f>
        <v>0</v>
      </c>
      <c r="H27" s="143"/>
      <c r="I27" s="152">
        <f>+'CASHFLOW 2020'!P17</f>
        <v>0</v>
      </c>
      <c r="J27" s="143"/>
      <c r="K27" s="247"/>
      <c r="N27" s="166"/>
      <c r="O27" s="312"/>
      <c r="P27" s="101"/>
      <c r="Q27" s="335"/>
      <c r="V27" s="36"/>
    </row>
    <row r="28" spans="1:22" ht="15.5" x14ac:dyDescent="0.35">
      <c r="A28" s="139" t="s">
        <v>8</v>
      </c>
      <c r="B28" s="151"/>
      <c r="C28" s="144">
        <v>-1790.06</v>
      </c>
      <c r="D28" s="151"/>
      <c r="E28" s="144">
        <f>+'CASHFLOW 2017'!P18</f>
        <v>-1733.3700000000001</v>
      </c>
      <c r="F28" s="151"/>
      <c r="G28" s="152">
        <v>-3463.22</v>
      </c>
      <c r="H28" s="151"/>
      <c r="I28" s="152">
        <f>+'CASHFLOW 2021'!P18</f>
        <v>-2699.1899999999996</v>
      </c>
      <c r="J28" s="151"/>
      <c r="K28" s="247"/>
      <c r="N28" s="166">
        <f>'Budget 2021'!D29</f>
        <v>-3500</v>
      </c>
      <c r="O28" s="312">
        <f>'Budget 2021'!H29</f>
        <v>-3500</v>
      </c>
      <c r="P28" s="101"/>
      <c r="Q28" s="335">
        <v>-3500</v>
      </c>
      <c r="V28" s="36"/>
    </row>
    <row r="29" spans="1:22" ht="15.5" x14ac:dyDescent="0.35">
      <c r="A29" s="139" t="s">
        <v>9</v>
      </c>
      <c r="B29" s="151"/>
      <c r="C29" s="144">
        <v>-1355.56</v>
      </c>
      <c r="D29" s="151"/>
      <c r="E29" s="144">
        <f>+'CASHFLOW 2017'!P19</f>
        <v>-1435.4499999999998</v>
      </c>
      <c r="F29" s="151"/>
      <c r="G29" s="152">
        <v>-960.75</v>
      </c>
      <c r="H29" s="151"/>
      <c r="I29" s="152">
        <f>+'CASHFLOW 2021'!P19</f>
        <v>-1432.48</v>
      </c>
      <c r="J29" s="151"/>
      <c r="K29" s="247"/>
      <c r="N29" s="166">
        <f>'Budget 2021'!D30</f>
        <v>-1500</v>
      </c>
      <c r="O29" s="312">
        <f>'Budget 2021'!H30</f>
        <v>-1500</v>
      </c>
      <c r="P29" s="101"/>
      <c r="Q29" s="335">
        <v>-1500</v>
      </c>
      <c r="V29" s="36"/>
    </row>
    <row r="30" spans="1:22" ht="15.5" x14ac:dyDescent="0.35">
      <c r="A30" s="139" t="s">
        <v>10</v>
      </c>
      <c r="B30" s="151"/>
      <c r="C30" s="144">
        <v>-1311.71</v>
      </c>
      <c r="D30" s="151"/>
      <c r="E30" s="144">
        <f>+'CASHFLOW 2017'!P21</f>
        <v>-1377.31</v>
      </c>
      <c r="F30" s="151"/>
      <c r="G30" s="152">
        <v>-1440</v>
      </c>
      <c r="H30" s="151"/>
      <c r="I30" s="152">
        <f>+'CASHFLOW 2021'!P22</f>
        <v>-1117.0999999999999</v>
      </c>
      <c r="J30" s="151"/>
      <c r="K30" s="247"/>
      <c r="N30" s="166">
        <f>'Budget 2021'!D31</f>
        <v>-1100</v>
      </c>
      <c r="O30" s="312">
        <f>'Budget 2021'!H31</f>
        <v>-1100</v>
      </c>
      <c r="P30" s="101"/>
      <c r="Q30" s="335">
        <v>-1200</v>
      </c>
      <c r="V30" s="36"/>
    </row>
    <row r="31" spans="1:22" ht="15.5" x14ac:dyDescent="0.35">
      <c r="A31" s="139" t="s">
        <v>301</v>
      </c>
      <c r="B31" s="151"/>
      <c r="C31" s="144">
        <v>0</v>
      </c>
      <c r="D31" s="151"/>
      <c r="E31" s="144">
        <f>'CASHFLOW 2017'!P20</f>
        <v>-247.49000000000004</v>
      </c>
      <c r="F31" s="151"/>
      <c r="G31" s="152">
        <v>-485.36</v>
      </c>
      <c r="H31" s="151"/>
      <c r="I31" s="152">
        <f>'CASHFLOW 2021'!P20</f>
        <v>-577.28</v>
      </c>
      <c r="J31" s="151"/>
      <c r="K31" s="247"/>
      <c r="N31" s="166">
        <f>'Budget 2021'!D32</f>
        <v>-540</v>
      </c>
      <c r="O31" s="312">
        <f>'Budget 2021'!H32</f>
        <v>-540</v>
      </c>
      <c r="P31" s="101"/>
      <c r="Q31" s="335">
        <v>-540</v>
      </c>
      <c r="V31" s="36"/>
    </row>
    <row r="32" spans="1:22" ht="15.5" x14ac:dyDescent="0.35">
      <c r="A32" s="151" t="s">
        <v>86</v>
      </c>
      <c r="B32" s="151"/>
      <c r="C32" s="144">
        <v>20</v>
      </c>
      <c r="D32" s="151"/>
      <c r="E32" s="144">
        <f>'CASHFLOW 2017'!P10</f>
        <v>20</v>
      </c>
      <c r="F32" s="151"/>
      <c r="G32" s="152">
        <v>-100</v>
      </c>
      <c r="H32" s="151"/>
      <c r="I32" s="152">
        <f>+'CASHFLOW 2021'!P21</f>
        <v>-100</v>
      </c>
      <c r="J32" s="151"/>
      <c r="K32" s="247"/>
      <c r="N32" s="166">
        <f>'Budget 2021'!D33</f>
        <v>-100</v>
      </c>
      <c r="O32" s="312">
        <f>'Budget 2021'!H33</f>
        <v>-100</v>
      </c>
      <c r="P32" s="101"/>
      <c r="Q32" s="335">
        <v>-100</v>
      </c>
      <c r="V32" s="36"/>
    </row>
    <row r="33" spans="1:22" ht="15.5" x14ac:dyDescent="0.35">
      <c r="A33" s="139" t="s">
        <v>11</v>
      </c>
      <c r="B33" s="151"/>
      <c r="C33" s="144">
        <v>-648.04</v>
      </c>
      <c r="D33" s="151"/>
      <c r="E33" s="144">
        <f>+'CASHFLOW 2017'!P22-(0*'CASHFLOW 2017'!O22)</f>
        <v>-984.81999999999994</v>
      </c>
      <c r="F33" s="151"/>
      <c r="G33" s="152">
        <v>-2384.3200000000002</v>
      </c>
      <c r="H33" s="151"/>
      <c r="I33" s="152">
        <f>+'CASHFLOW 2021'!P23</f>
        <v>54.830000000000041</v>
      </c>
      <c r="J33" s="151"/>
      <c r="K33" s="247"/>
      <c r="N33" s="166">
        <f>'Budget 2021'!D34</f>
        <v>-600</v>
      </c>
      <c r="O33" s="312">
        <f>'Budget 2021'!H34</f>
        <v>-600</v>
      </c>
      <c r="P33" s="101"/>
      <c r="Q33" s="335">
        <v>-1000</v>
      </c>
      <c r="V33" s="36"/>
    </row>
    <row r="34" spans="1:22" ht="15.5" x14ac:dyDescent="0.35">
      <c r="A34" s="139" t="s">
        <v>12</v>
      </c>
      <c r="B34" s="151"/>
      <c r="C34" s="144">
        <v>-3904.12</v>
      </c>
      <c r="D34" s="151"/>
      <c r="E34" s="144">
        <f>+'CASHFLOW 2017'!P23</f>
        <v>-4302.0800000000008</v>
      </c>
      <c r="F34" s="151"/>
      <c r="G34" s="152">
        <v>-3442.32</v>
      </c>
      <c r="H34" s="151"/>
      <c r="I34" s="152">
        <f>+'CASHFLOW 2021'!P24</f>
        <v>-4490.96</v>
      </c>
      <c r="J34" s="151"/>
      <c r="K34" s="247"/>
      <c r="N34" s="166">
        <f>'Budget 2021'!D39</f>
        <v>-4339.5</v>
      </c>
      <c r="O34" s="312">
        <f>'Budget 2021'!H39</f>
        <v>-4339.5</v>
      </c>
      <c r="P34" s="101"/>
      <c r="Q34" s="335">
        <v>-5535</v>
      </c>
      <c r="V34" s="36"/>
    </row>
    <row r="35" spans="1:22" ht="15.5" x14ac:dyDescent="0.35">
      <c r="A35" s="139" t="s">
        <v>13</v>
      </c>
      <c r="B35" s="151"/>
      <c r="C35" s="144">
        <v>-541.53</v>
      </c>
      <c r="D35" s="151"/>
      <c r="E35" s="144">
        <f>+'CASHFLOW 2017'!P24</f>
        <v>-561.62</v>
      </c>
      <c r="F35" s="151"/>
      <c r="G35" s="152">
        <v>-711.16</v>
      </c>
      <c r="H35" s="151"/>
      <c r="I35" s="152">
        <f>+'CASHFLOW 2021'!P25</f>
        <v>-1059.0999999999999</v>
      </c>
      <c r="J35" s="151"/>
      <c r="K35" s="247"/>
      <c r="N35" s="166">
        <f>'Budget 2021'!D44</f>
        <v>-1300</v>
      </c>
      <c r="O35" s="312">
        <f>'Budget 2021'!H44</f>
        <v>-1300</v>
      </c>
      <c r="P35" s="101"/>
      <c r="Q35" s="335">
        <v>-695</v>
      </c>
      <c r="V35" s="36"/>
    </row>
    <row r="36" spans="1:22" ht="15.5" x14ac:dyDescent="0.35">
      <c r="A36" s="139" t="s">
        <v>468</v>
      </c>
      <c r="B36" s="151"/>
      <c r="C36" s="144">
        <v>0</v>
      </c>
      <c r="D36" s="151"/>
      <c r="E36" s="144">
        <f>'CASHFLOW 2017'!P25</f>
        <v>-55</v>
      </c>
      <c r="F36" s="151"/>
      <c r="G36" s="152">
        <v>-44</v>
      </c>
      <c r="H36" s="151"/>
      <c r="I36" s="152">
        <f>+'CASHFLOW 2021'!P26</f>
        <v>0</v>
      </c>
      <c r="J36" s="151"/>
      <c r="K36" s="247"/>
      <c r="N36" s="166">
        <f>'Budget 2021'!D45</f>
        <v>-150</v>
      </c>
      <c r="O36" s="312">
        <f>'Budget 2021'!H45</f>
        <v>-150</v>
      </c>
      <c r="P36" s="101"/>
      <c r="Q36" s="335">
        <v>-150</v>
      </c>
      <c r="V36" s="36"/>
    </row>
    <row r="37" spans="1:22" ht="15.5" x14ac:dyDescent="0.35">
      <c r="A37" s="139" t="s">
        <v>621</v>
      </c>
      <c r="B37" s="151"/>
      <c r="C37" s="144">
        <f>-15.02-986.57</f>
        <v>-1001.59</v>
      </c>
      <c r="D37" s="151"/>
      <c r="E37" s="144">
        <f>+'CASHFLOW 2017'!P26</f>
        <v>-877.28</v>
      </c>
      <c r="F37" s="151"/>
      <c r="G37" s="152">
        <v>-450</v>
      </c>
      <c r="H37" s="151"/>
      <c r="I37" s="152">
        <f>+'CASHFLOW 2021'!P27</f>
        <v>-672.17000000000007</v>
      </c>
      <c r="J37" s="151"/>
      <c r="K37" s="247"/>
      <c r="N37" s="166">
        <f>'Budget 2021'!D46</f>
        <v>-500</v>
      </c>
      <c r="O37" s="312">
        <f>'Budget 2021'!H46</f>
        <v>-500</v>
      </c>
      <c r="P37" s="101"/>
      <c r="Q37" s="335">
        <v>-750</v>
      </c>
      <c r="V37" s="36"/>
    </row>
    <row r="38" spans="1:22" ht="15.5" x14ac:dyDescent="0.35">
      <c r="A38" s="151"/>
      <c r="B38" s="151"/>
      <c r="C38" s="154"/>
      <c r="D38" s="151"/>
      <c r="E38" s="154"/>
      <c r="F38" s="151"/>
      <c r="G38" s="154"/>
      <c r="H38" s="151"/>
      <c r="I38" s="154"/>
      <c r="J38" s="151"/>
      <c r="K38" s="247"/>
      <c r="N38" s="166"/>
      <c r="O38" s="312"/>
      <c r="P38" s="101"/>
      <c r="Q38" s="335"/>
      <c r="V38" s="36"/>
    </row>
    <row r="39" spans="1:22" ht="15.5" x14ac:dyDescent="0.35">
      <c r="A39" s="151"/>
      <c r="B39" s="151"/>
      <c r="C39" s="155">
        <f>SUM(C24:C38)</f>
        <v>-42279.09</v>
      </c>
      <c r="D39" s="151"/>
      <c r="E39" s="155">
        <f>SUM(E24:E38)</f>
        <v>-44908.31</v>
      </c>
      <c r="F39" s="151"/>
      <c r="G39" s="155">
        <f>SUM(G24:G38)</f>
        <v>-17324.98</v>
      </c>
      <c r="H39" s="151"/>
      <c r="I39" s="155">
        <f>SUM(I24:I38)</f>
        <v>-17217.809999999998</v>
      </c>
      <c r="J39" s="151"/>
      <c r="K39" s="249"/>
      <c r="N39" s="296">
        <f>SUM(N24:N37)</f>
        <v>-18629.5</v>
      </c>
      <c r="O39" s="313">
        <f>SUM(O24:O37)</f>
        <v>-17629.5</v>
      </c>
      <c r="P39" s="101"/>
      <c r="Q39" s="338">
        <f>SUM(Q24:Q37)</f>
        <v>-20970</v>
      </c>
      <c r="V39" s="36"/>
    </row>
    <row r="40" spans="1:22" ht="15.5" x14ac:dyDescent="0.35">
      <c r="A40" s="151"/>
      <c r="B40" s="151"/>
      <c r="C40" s="157"/>
      <c r="D40" s="151"/>
      <c r="E40" s="157"/>
      <c r="F40" s="151"/>
      <c r="G40" s="157"/>
      <c r="H40" s="151"/>
      <c r="I40" s="157"/>
      <c r="J40" s="151"/>
      <c r="K40" s="249"/>
      <c r="N40" s="297"/>
      <c r="O40" s="310"/>
      <c r="P40" s="101"/>
      <c r="Q40" s="335"/>
      <c r="V40" s="36"/>
    </row>
    <row r="41" spans="1:22" ht="16" thickBot="1" x14ac:dyDescent="0.4">
      <c r="A41" s="150" t="s">
        <v>14</v>
      </c>
      <c r="B41" s="151"/>
      <c r="C41" s="158">
        <f>C21+C39</f>
        <v>-20204.419999999998</v>
      </c>
      <c r="D41" s="151"/>
      <c r="E41" s="158">
        <f>E21+E39</f>
        <v>967.90000000000146</v>
      </c>
      <c r="F41" s="151"/>
      <c r="G41" s="158">
        <f>G21+G39</f>
        <v>5009.7700000000004</v>
      </c>
      <c r="H41" s="151"/>
      <c r="I41" s="158">
        <f>I21+I39</f>
        <v>1127.8800000000047</v>
      </c>
      <c r="J41" s="151"/>
      <c r="K41" s="249"/>
      <c r="N41" s="298">
        <f>SUM(N21+N39)</f>
        <v>-4689.5</v>
      </c>
      <c r="O41" s="314">
        <f>SUM(O21+O39)</f>
        <v>-354.5</v>
      </c>
      <c r="P41" s="101"/>
      <c r="Q41" s="339">
        <f>SUM(Q21+Q39)</f>
        <v>1500</v>
      </c>
      <c r="V41" s="36"/>
    </row>
    <row r="42" spans="1:22" ht="16" thickTop="1" x14ac:dyDescent="0.35">
      <c r="A42" s="159"/>
      <c r="B42" s="159"/>
      <c r="C42" s="144"/>
      <c r="D42" s="159"/>
      <c r="E42" s="144"/>
      <c r="F42" s="159"/>
      <c r="G42" s="144"/>
      <c r="H42" s="159"/>
      <c r="I42" s="144"/>
      <c r="J42" s="159"/>
      <c r="K42" s="247"/>
      <c r="N42" s="293"/>
      <c r="O42" s="310"/>
      <c r="P42" s="101"/>
      <c r="Q42" s="101"/>
    </row>
    <row r="43" spans="1:22" ht="15.5" x14ac:dyDescent="0.35">
      <c r="A43" s="150"/>
      <c r="B43" s="151"/>
      <c r="C43" s="157"/>
      <c r="D43" s="161" t="s">
        <v>1753</v>
      </c>
      <c r="E43" s="157"/>
      <c r="F43" s="161"/>
      <c r="G43" s="157"/>
      <c r="H43" s="161"/>
      <c r="I43" s="157"/>
      <c r="J43" s="161"/>
      <c r="K43" s="143"/>
      <c r="N43" s="247"/>
      <c r="P43" s="101"/>
      <c r="Q43" s="101"/>
    </row>
    <row r="44" spans="1:22" s="13" customFormat="1" ht="15.5" x14ac:dyDescent="0.35">
      <c r="A44" s="150"/>
      <c r="B44" s="151"/>
      <c r="C44" s="157"/>
      <c r="D44" s="151"/>
      <c r="E44" s="157"/>
      <c r="F44" s="151"/>
      <c r="G44" s="157"/>
      <c r="H44" s="151"/>
      <c r="I44" s="157"/>
      <c r="J44" s="151"/>
      <c r="K44" s="143"/>
      <c r="N44" s="247"/>
      <c r="V44" s="1"/>
    </row>
    <row r="45" spans="1:22" ht="15.5" x14ac:dyDescent="0.35">
      <c r="A45" s="139"/>
      <c r="B45" s="151"/>
      <c r="C45" s="157"/>
      <c r="D45" s="151"/>
      <c r="E45" s="157"/>
      <c r="F45" s="151"/>
      <c r="G45" s="157"/>
      <c r="H45" s="151"/>
      <c r="I45" s="157"/>
      <c r="J45" s="151"/>
      <c r="K45" s="143"/>
      <c r="N45" s="247"/>
      <c r="P45" s="101"/>
      <c r="Q45" s="101"/>
      <c r="V45" s="13"/>
    </row>
    <row r="46" spans="1:22" ht="15.5" x14ac:dyDescent="0.35">
      <c r="A46" s="139" t="s">
        <v>526</v>
      </c>
      <c r="B46" s="151"/>
      <c r="C46" s="157">
        <v>14779.4</v>
      </c>
      <c r="D46" s="151"/>
      <c r="E46" s="162">
        <f>'CASHFLOW 2017'!O38</f>
        <v>15873.52</v>
      </c>
      <c r="F46" s="151"/>
      <c r="G46" s="152">
        <v>8902.26</v>
      </c>
      <c r="H46" s="151"/>
      <c r="I46" s="152">
        <f>+'CASHFLOW 2021'!P39</f>
        <v>5725.5599999999977</v>
      </c>
      <c r="J46" s="151"/>
      <c r="K46" s="143"/>
      <c r="L46" s="247"/>
    </row>
    <row r="47" spans="1:22" ht="15.5" x14ac:dyDescent="0.35">
      <c r="A47" s="139" t="s">
        <v>1334</v>
      </c>
      <c r="B47" s="151"/>
      <c r="C47" s="157"/>
      <c r="D47" s="151"/>
      <c r="E47" s="157"/>
      <c r="F47" s="151"/>
      <c r="G47" s="157">
        <v>30058.76</v>
      </c>
      <c r="H47" s="151"/>
      <c r="I47" s="157">
        <f>'CASHFLOW 2021'!P40+'CASHFLOW 2021'!P41</f>
        <v>35096.339999999997</v>
      </c>
      <c r="J47" s="151"/>
      <c r="K47" s="143"/>
      <c r="L47" s="247"/>
    </row>
    <row r="48" spans="1:22" ht="15.5" x14ac:dyDescent="0.35">
      <c r="A48" s="139"/>
      <c r="B48" s="151"/>
      <c r="C48" s="157">
        <v>11664.06</v>
      </c>
      <c r="D48" s="151"/>
      <c r="E48" s="162">
        <f>'CASHFLOW 2017'!O44</f>
        <v>11817.839999999998</v>
      </c>
      <c r="F48" s="151"/>
      <c r="G48" s="152"/>
      <c r="H48" s="151"/>
      <c r="I48" s="152"/>
      <c r="J48" s="151"/>
      <c r="K48" s="143"/>
      <c r="L48" s="247"/>
    </row>
    <row r="49" spans="1:12" ht="15.5" x14ac:dyDescent="0.35">
      <c r="A49" s="139"/>
      <c r="B49" s="151"/>
      <c r="C49" s="157"/>
      <c r="D49" s="151"/>
      <c r="E49" s="157"/>
      <c r="F49" s="151"/>
      <c r="G49" s="157"/>
      <c r="H49" s="151"/>
      <c r="I49" s="157"/>
      <c r="J49" s="151"/>
      <c r="K49" s="143"/>
      <c r="L49" s="247"/>
    </row>
    <row r="50" spans="1:12" ht="15.5" x14ac:dyDescent="0.35">
      <c r="A50" s="139"/>
      <c r="B50" s="151"/>
      <c r="C50" s="163">
        <f>SUM(C46:C48)</f>
        <v>26443.46</v>
      </c>
      <c r="D50" s="151"/>
      <c r="E50" s="163">
        <f>SUM(E46:E48)</f>
        <v>27691.360000000001</v>
      </c>
      <c r="F50" s="151"/>
      <c r="G50" s="163">
        <f>SUM(G46:G48)</f>
        <v>38961.019999999997</v>
      </c>
      <c r="H50" s="151"/>
      <c r="I50" s="163">
        <f>SUM(I46:I48)</f>
        <v>40821.899999999994</v>
      </c>
      <c r="J50" s="151"/>
      <c r="K50" s="164"/>
      <c r="L50" s="247"/>
    </row>
    <row r="51" spans="1:12" ht="15.5" x14ac:dyDescent="0.35">
      <c r="A51" s="150" t="s">
        <v>16</v>
      </c>
      <c r="B51" s="151"/>
      <c r="C51" s="157"/>
      <c r="D51" s="151"/>
      <c r="E51" s="157"/>
      <c r="F51" s="151"/>
      <c r="G51" s="157"/>
      <c r="H51" s="151"/>
      <c r="I51" s="157"/>
      <c r="J51" s="151"/>
      <c r="K51" s="143"/>
      <c r="L51" s="247"/>
    </row>
    <row r="52" spans="1:12" ht="15.5" x14ac:dyDescent="0.35">
      <c r="A52" s="139" t="s">
        <v>17</v>
      </c>
      <c r="B52" s="151"/>
      <c r="C52" s="144">
        <v>0</v>
      </c>
      <c r="D52" s="151"/>
      <c r="E52" s="152">
        <f>-'CASHFLOW 2017'!R36</f>
        <v>-280</v>
      </c>
      <c r="F52" s="151"/>
      <c r="G52" s="152">
        <v>-320</v>
      </c>
      <c r="H52" s="151"/>
      <c r="I52" s="152">
        <f>-'CASHFLOW 2021'!R37</f>
        <v>-1053</v>
      </c>
      <c r="J52" s="151"/>
      <c r="K52" s="164"/>
      <c r="L52" s="247"/>
    </row>
    <row r="53" spans="1:12" ht="16" thickBot="1" x14ac:dyDescent="0.4">
      <c r="A53" s="139"/>
      <c r="B53" s="151"/>
      <c r="C53" s="158">
        <f>+C50+C52</f>
        <v>26443.46</v>
      </c>
      <c r="D53" s="151"/>
      <c r="E53" s="158">
        <f>+E50+E52</f>
        <v>27411.360000000001</v>
      </c>
      <c r="F53" s="151"/>
      <c r="G53" s="323">
        <f>+G50+G52</f>
        <v>38641.019999999997</v>
      </c>
      <c r="H53" s="324"/>
      <c r="I53" s="323">
        <f>+I50+I52</f>
        <v>39768.899999999994</v>
      </c>
      <c r="J53" s="151"/>
      <c r="K53" s="164"/>
      <c r="L53" s="247"/>
    </row>
    <row r="54" spans="1:12" ht="16" thickTop="1" x14ac:dyDescent="0.35">
      <c r="A54" s="151" t="s">
        <v>18</v>
      </c>
      <c r="B54" s="151"/>
      <c r="C54" s="144"/>
      <c r="D54" s="151"/>
      <c r="E54" s="144"/>
      <c r="F54" s="151"/>
      <c r="G54" s="144"/>
      <c r="H54" s="151"/>
      <c r="I54" s="144"/>
      <c r="J54" s="151"/>
      <c r="K54" s="164"/>
      <c r="L54" s="247"/>
    </row>
    <row r="55" spans="1:12" ht="15.5" x14ac:dyDescent="0.35">
      <c r="A55" s="139" t="s">
        <v>19</v>
      </c>
      <c r="B55" s="151"/>
      <c r="C55" s="144">
        <v>46647.88</v>
      </c>
      <c r="D55" s="151"/>
      <c r="E55" s="144">
        <f>+C59</f>
        <v>26443.46</v>
      </c>
      <c r="F55" s="151"/>
      <c r="G55" s="144">
        <v>33631.25</v>
      </c>
      <c r="H55" s="151"/>
      <c r="I55" s="144">
        <f>+G59</f>
        <v>32641.020000000004</v>
      </c>
      <c r="J55" s="151"/>
      <c r="K55" s="164"/>
      <c r="L55" s="247"/>
    </row>
    <row r="56" spans="1:12" ht="15.5" x14ac:dyDescent="0.35">
      <c r="A56" s="139" t="s">
        <v>1527</v>
      </c>
      <c r="B56" s="151"/>
      <c r="C56" s="144"/>
      <c r="D56" s="151"/>
      <c r="E56" s="144"/>
      <c r="F56" s="151"/>
      <c r="G56" s="144">
        <v>0</v>
      </c>
      <c r="H56" s="151"/>
      <c r="I56" s="144">
        <f>+G60</f>
        <v>6000</v>
      </c>
      <c r="J56" s="151"/>
      <c r="K56" s="164"/>
      <c r="L56" s="247"/>
    </row>
    <row r="57" spans="1:12" ht="15.5" x14ac:dyDescent="0.35">
      <c r="A57" s="139" t="s">
        <v>73</v>
      </c>
      <c r="B57" s="151"/>
      <c r="C57" s="154">
        <f>C41</f>
        <v>-20204.419999999998</v>
      </c>
      <c r="D57" s="151"/>
      <c r="E57" s="154">
        <f>E41</f>
        <v>967.90000000000146</v>
      </c>
      <c r="F57" s="151"/>
      <c r="G57" s="157">
        <f>G41</f>
        <v>5009.7700000000004</v>
      </c>
      <c r="H57" s="151"/>
      <c r="I57" s="157">
        <f>I41</f>
        <v>1127.8800000000047</v>
      </c>
      <c r="J57" s="151"/>
      <c r="K57" s="164"/>
      <c r="L57" s="247"/>
    </row>
    <row r="58" spans="1:12" ht="15.5" x14ac:dyDescent="0.35">
      <c r="A58" s="139" t="s">
        <v>1524</v>
      </c>
      <c r="B58" s="151"/>
      <c r="C58" s="157"/>
      <c r="D58" s="151"/>
      <c r="E58" s="157"/>
      <c r="F58" s="151"/>
      <c r="G58" s="157">
        <v>-6000</v>
      </c>
      <c r="H58" s="151"/>
      <c r="I58" s="157">
        <f>-I12</f>
        <v>0</v>
      </c>
      <c r="J58" s="151"/>
      <c r="K58" s="164"/>
      <c r="L58" s="247"/>
    </row>
    <row r="59" spans="1:12" ht="16" thickBot="1" x14ac:dyDescent="0.4">
      <c r="A59" s="139" t="s">
        <v>1525</v>
      </c>
      <c r="B59" s="151"/>
      <c r="C59" s="158">
        <f>+C57+C55</f>
        <v>26443.46</v>
      </c>
      <c r="D59" s="151"/>
      <c r="E59" s="158">
        <f>+E57+E55</f>
        <v>27411.360000000001</v>
      </c>
      <c r="F59" s="151"/>
      <c r="G59" s="163">
        <f>+G57+G55+G58</f>
        <v>32641.020000000004</v>
      </c>
      <c r="H59" s="357"/>
      <c r="I59" s="163">
        <f>+I57+I55+I58</f>
        <v>33768.900000000009</v>
      </c>
      <c r="J59" s="151"/>
      <c r="K59" s="164"/>
      <c r="L59" s="247"/>
    </row>
    <row r="60" spans="1:12" ht="16" thickTop="1" x14ac:dyDescent="0.35">
      <c r="A60" s="143" t="s">
        <v>1526</v>
      </c>
      <c r="B60" s="143"/>
      <c r="C60" s="165"/>
      <c r="D60" s="143"/>
      <c r="E60" s="165"/>
      <c r="F60" s="143"/>
      <c r="G60" s="322">
        <f>-G58</f>
        <v>6000</v>
      </c>
      <c r="H60" s="143"/>
      <c r="I60" s="322">
        <f>+I56-I58</f>
        <v>6000</v>
      </c>
      <c r="J60" s="143"/>
      <c r="K60" s="160"/>
      <c r="L60" s="247"/>
    </row>
    <row r="61" spans="1:12" ht="16" thickBot="1" x14ac:dyDescent="0.4">
      <c r="A61" s="143" t="s">
        <v>1556</v>
      </c>
      <c r="B61" s="143"/>
      <c r="C61" s="165"/>
      <c r="D61" s="143"/>
      <c r="E61" s="165"/>
      <c r="F61" s="143"/>
      <c r="G61" s="325">
        <f>+G59+G60</f>
        <v>38641.020000000004</v>
      </c>
      <c r="H61" s="319"/>
      <c r="I61" s="325">
        <f>+I59+I60</f>
        <v>39768.900000000009</v>
      </c>
      <c r="J61" s="143"/>
      <c r="K61" s="160"/>
      <c r="L61" s="247"/>
    </row>
    <row r="62" spans="1:12" ht="16" thickTop="1" x14ac:dyDescent="0.35">
      <c r="A62" s="143"/>
      <c r="B62" s="143"/>
      <c r="C62" s="165"/>
      <c r="D62" s="143"/>
      <c r="E62" s="165"/>
      <c r="F62" s="143"/>
      <c r="G62" s="322"/>
      <c r="H62" s="143"/>
      <c r="I62" s="322"/>
      <c r="J62" s="143"/>
      <c r="K62" s="160"/>
      <c r="L62" s="247"/>
    </row>
    <row r="63" spans="1:12" ht="15.5" x14ac:dyDescent="0.35">
      <c r="A63" s="144" t="s">
        <v>154</v>
      </c>
      <c r="B63" s="151"/>
      <c r="C63" s="143"/>
      <c r="D63" s="151"/>
      <c r="E63" s="143"/>
      <c r="F63" s="151"/>
      <c r="G63" s="144"/>
      <c r="H63" s="151"/>
      <c r="I63" s="144"/>
      <c r="J63" s="151"/>
      <c r="K63" s="145"/>
      <c r="L63" s="143"/>
    </row>
    <row r="64" spans="1:12" ht="15.5" x14ac:dyDescent="0.35">
      <c r="A64" s="144"/>
      <c r="B64" s="151"/>
      <c r="C64" s="143"/>
      <c r="D64" s="151"/>
      <c r="E64" s="143"/>
      <c r="F64" s="151"/>
      <c r="G64" s="144"/>
      <c r="H64" s="151"/>
      <c r="I64" s="144"/>
      <c r="J64" s="151"/>
      <c r="K64" s="145"/>
      <c r="L64" s="143"/>
    </row>
    <row r="65" spans="1:12" ht="15.5" x14ac:dyDescent="0.35">
      <c r="A65" s="144" t="s">
        <v>1523</v>
      </c>
      <c r="B65" s="151"/>
      <c r="C65" s="143"/>
      <c r="D65" s="151"/>
      <c r="E65" s="143"/>
      <c r="F65" s="151"/>
      <c r="G65" s="144"/>
      <c r="H65" s="151"/>
      <c r="I65" s="144"/>
      <c r="J65" s="151"/>
      <c r="K65" s="145"/>
      <c r="L65" s="166"/>
    </row>
    <row r="66" spans="1:12" ht="15.5" x14ac:dyDescent="0.35">
      <c r="A66" s="144"/>
      <c r="B66" s="151"/>
      <c r="C66" s="144"/>
      <c r="D66" s="151"/>
      <c r="E66" s="143"/>
      <c r="F66" s="151"/>
      <c r="G66" s="144"/>
      <c r="H66" s="151"/>
      <c r="I66" s="144"/>
      <c r="J66" s="151"/>
      <c r="K66" s="145"/>
      <c r="L66" s="143"/>
    </row>
    <row r="67" spans="1:12" ht="15.5" x14ac:dyDescent="0.35">
      <c r="A67" s="157" t="s">
        <v>89</v>
      </c>
      <c r="B67" s="151"/>
      <c r="C67" s="144"/>
      <c r="D67" s="167"/>
      <c r="E67" s="143"/>
      <c r="F67" s="167"/>
      <c r="G67" s="144"/>
      <c r="H67" s="167"/>
      <c r="I67" s="144"/>
      <c r="J67" s="167"/>
      <c r="K67" s="145"/>
      <c r="L67" s="143"/>
    </row>
    <row r="68" spans="1:12" ht="15.5" x14ac:dyDescent="0.35">
      <c r="A68" s="151"/>
      <c r="B68" s="143"/>
      <c r="C68" s="143"/>
      <c r="D68" s="143"/>
      <c r="E68" s="143"/>
      <c r="F68" s="143"/>
      <c r="G68" s="151"/>
      <c r="H68" s="143"/>
      <c r="I68" s="151"/>
      <c r="J68" s="143"/>
      <c r="K68" s="157"/>
      <c r="L68" s="143"/>
    </row>
    <row r="69" spans="1:12" ht="13" x14ac:dyDescent="0.3">
      <c r="A69" s="100"/>
      <c r="B69" s="8"/>
      <c r="D69" s="8"/>
      <c r="F69" s="8"/>
      <c r="G69" s="100"/>
      <c r="H69" s="8"/>
      <c r="I69" s="100"/>
      <c r="J69" s="8"/>
      <c r="K69" s="21"/>
    </row>
    <row r="70" spans="1:12" ht="15.5" x14ac:dyDescent="0.35">
      <c r="A70" s="157" t="s">
        <v>20</v>
      </c>
      <c r="B70" s="8"/>
      <c r="D70" s="8"/>
      <c r="F70" s="8"/>
      <c r="G70" s="100"/>
      <c r="H70" s="8"/>
      <c r="I70" s="100"/>
      <c r="J70" s="8"/>
      <c r="K70" s="21"/>
    </row>
    <row r="71" spans="1:12" ht="15.5" x14ac:dyDescent="0.35">
      <c r="A71" s="157" t="s">
        <v>21</v>
      </c>
      <c r="B71" s="8"/>
      <c r="G71" s="100"/>
      <c r="I71" s="100"/>
      <c r="K71" s="21"/>
    </row>
    <row r="72" spans="1:12" ht="15.5" x14ac:dyDescent="0.35">
      <c r="A72" s="144"/>
      <c r="B72" s="8"/>
      <c r="D72" s="8"/>
      <c r="F72" s="8"/>
      <c r="G72" s="100"/>
      <c r="H72" s="8"/>
      <c r="I72" s="100"/>
      <c r="J72" s="8"/>
      <c r="K72" s="21"/>
    </row>
    <row r="73" spans="1:12" ht="15.5" x14ac:dyDescent="0.35">
      <c r="A73" s="144"/>
      <c r="B73" s="8"/>
      <c r="D73" s="8"/>
      <c r="F73" s="8"/>
      <c r="G73" s="100"/>
      <c r="H73" s="8"/>
      <c r="I73" s="100"/>
      <c r="J73" s="8"/>
      <c r="K73" s="21"/>
    </row>
    <row r="74" spans="1:12" ht="15.5" x14ac:dyDescent="0.35">
      <c r="A74" s="157" t="s">
        <v>22</v>
      </c>
      <c r="B74" s="8"/>
      <c r="D74" s="8"/>
      <c r="F74" s="8"/>
      <c r="G74" s="100"/>
      <c r="H74" s="8"/>
      <c r="I74" s="100"/>
      <c r="J74" s="8"/>
      <c r="K74" s="21"/>
    </row>
    <row r="75" spans="1:12" ht="15.5" x14ac:dyDescent="0.35">
      <c r="A75" s="151"/>
      <c r="G75" s="8"/>
      <c r="I75" s="8"/>
      <c r="K75" s="104"/>
    </row>
    <row r="76" spans="1:12" ht="15.5" x14ac:dyDescent="0.35">
      <c r="A76" s="165" t="s">
        <v>23</v>
      </c>
      <c r="B76" s="8"/>
      <c r="D76" s="8"/>
      <c r="F76" s="8"/>
      <c r="G76" s="101"/>
      <c r="H76" s="8"/>
      <c r="I76" s="101"/>
      <c r="J76" s="8"/>
      <c r="K76" s="21"/>
    </row>
    <row r="77" spans="1:12" ht="13" x14ac:dyDescent="0.3">
      <c r="A77" s="8"/>
      <c r="B77" s="8"/>
      <c r="E77" s="101"/>
      <c r="G77" s="101"/>
      <c r="I77" s="101"/>
      <c r="K77" s="21"/>
    </row>
    <row r="78" spans="1:12" x14ac:dyDescent="0.25">
      <c r="A78" s="1"/>
      <c r="C78" s="101"/>
      <c r="E78" s="101"/>
      <c r="G78" s="101"/>
      <c r="I78" s="101"/>
      <c r="K78" s="21"/>
    </row>
    <row r="79" spans="1:12" x14ac:dyDescent="0.25">
      <c r="A79" s="1"/>
      <c r="C79" s="101"/>
      <c r="E79" s="101"/>
      <c r="G79" s="101"/>
      <c r="I79" s="101"/>
      <c r="K79" s="21"/>
    </row>
    <row r="80" spans="1:12" x14ac:dyDescent="0.25">
      <c r="A80" s="1"/>
      <c r="C80" s="101"/>
      <c r="E80" s="101"/>
      <c r="G80" s="101"/>
      <c r="I80" s="101"/>
      <c r="K80" s="21"/>
    </row>
    <row r="81" spans="1:11" x14ac:dyDescent="0.25">
      <c r="A81" s="1"/>
      <c r="C81" s="101"/>
      <c r="E81" s="101"/>
      <c r="G81" s="101"/>
      <c r="I81" s="101"/>
      <c r="K81" s="21"/>
    </row>
    <row r="82" spans="1:11" x14ac:dyDescent="0.25">
      <c r="A82" s="1"/>
      <c r="C82" s="101"/>
      <c r="E82" s="101"/>
      <c r="G82" s="101"/>
      <c r="I82" s="101"/>
      <c r="K82" s="21"/>
    </row>
    <row r="83" spans="1:11" x14ac:dyDescent="0.25">
      <c r="A83" s="1"/>
      <c r="C83" s="101"/>
      <c r="E83" s="101"/>
      <c r="G83" s="101"/>
      <c r="I83" s="101"/>
      <c r="K83" s="21"/>
    </row>
    <row r="84" spans="1:11" x14ac:dyDescent="0.25">
      <c r="A84" s="1"/>
      <c r="C84" s="101"/>
      <c r="E84" s="101"/>
      <c r="G84" s="101"/>
      <c r="I84" s="101"/>
      <c r="K84" s="21"/>
    </row>
    <row r="85" spans="1:11" x14ac:dyDescent="0.25">
      <c r="A85" s="1"/>
      <c r="C85" s="101"/>
      <c r="E85" s="101"/>
      <c r="G85" s="101"/>
      <c r="I85" s="101"/>
      <c r="K85" s="21"/>
    </row>
    <row r="86" spans="1:11" x14ac:dyDescent="0.25">
      <c r="A86" s="1"/>
      <c r="C86" s="101"/>
      <c r="E86" s="101"/>
      <c r="G86" s="101"/>
      <c r="I86" s="101"/>
      <c r="K86" s="21"/>
    </row>
  </sheetData>
  <phoneticPr fontId="0" type="noConversion"/>
  <pageMargins left="0.98" right="0" top="0.39000000000000007" bottom="0" header="0" footer="0"/>
  <pageSetup paperSize="9" scale="7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25</vt:i4>
      </vt:variant>
    </vt:vector>
  </HeadingPairs>
  <TitlesOfParts>
    <vt:vector size="46" baseType="lpstr">
      <vt:lpstr>Budget 2023</vt:lpstr>
      <vt:lpstr>ACCOUNTS 23</vt:lpstr>
      <vt:lpstr>CASH BOOK 2023</vt:lpstr>
      <vt:lpstr>CASHFLOW 2023</vt:lpstr>
      <vt:lpstr>ACCOUNTS 22</vt:lpstr>
      <vt:lpstr>Budget 2022</vt:lpstr>
      <vt:lpstr>CASH BOOK 2022</vt:lpstr>
      <vt:lpstr>CASHFLOW 2022</vt:lpstr>
      <vt:lpstr>ACCOUNTS 21</vt:lpstr>
      <vt:lpstr>CASH BOOK 2021</vt:lpstr>
      <vt:lpstr>CASHFLOW 2021</vt:lpstr>
      <vt:lpstr>Budget 2021</vt:lpstr>
      <vt:lpstr>CASH BOOK 2020</vt:lpstr>
      <vt:lpstr>CASHFLOW 2020</vt:lpstr>
      <vt:lpstr>CASH BOOK 2019</vt:lpstr>
      <vt:lpstr>CASHFLOW 2019</vt:lpstr>
      <vt:lpstr>INDEX</vt:lpstr>
      <vt:lpstr>CASH BOOK 2018</vt:lpstr>
      <vt:lpstr>CASHFLOW 2018</vt:lpstr>
      <vt:lpstr>CASHFLOW 2017</vt:lpstr>
      <vt:lpstr>CASH BOOK 2017</vt:lpstr>
      <vt:lpstr>'ACCOUNTS 21'!Print_Area</vt:lpstr>
      <vt:lpstr>'ACCOUNTS 22'!Print_Area</vt:lpstr>
      <vt:lpstr>'ACCOUNTS 23'!Print_Area</vt:lpstr>
      <vt:lpstr>'CASH BOOK 2017'!Print_Area</vt:lpstr>
      <vt:lpstr>'CASH BOOK 2018'!Print_Area</vt:lpstr>
      <vt:lpstr>'CASH BOOK 2019'!Print_Area</vt:lpstr>
      <vt:lpstr>'CASH BOOK 2020'!Print_Area</vt:lpstr>
      <vt:lpstr>'CASH BOOK 2021'!Print_Area</vt:lpstr>
      <vt:lpstr>'CASH BOOK 2022'!Print_Area</vt:lpstr>
      <vt:lpstr>'CASH BOOK 2023'!Print_Area</vt:lpstr>
      <vt:lpstr>'CASHFLOW 2017'!Print_Area</vt:lpstr>
      <vt:lpstr>'CASHFLOW 2018'!Print_Area</vt:lpstr>
      <vt:lpstr>'CASHFLOW 2019'!Print_Area</vt:lpstr>
      <vt:lpstr>'CASHFLOW 2020'!Print_Area</vt:lpstr>
      <vt:lpstr>'CASHFLOW 2021'!Print_Area</vt:lpstr>
      <vt:lpstr>'CASHFLOW 2022'!Print_Area</vt:lpstr>
      <vt:lpstr>'CASHFLOW 2023'!Print_Area</vt:lpstr>
      <vt:lpstr>INDEX!Print_Area</vt:lpstr>
      <vt:lpstr>'CASH BOOK 2017'!Print_Titles</vt:lpstr>
      <vt:lpstr>'CASH BOOK 2018'!Print_Titles</vt:lpstr>
      <vt:lpstr>'CASH BOOK 2019'!Print_Titles</vt:lpstr>
      <vt:lpstr>'CASH BOOK 2020'!Print_Titles</vt:lpstr>
      <vt:lpstr>'CASH BOOK 2021'!Print_Titles</vt:lpstr>
      <vt:lpstr>'CASH BOOK 2022'!Print_Titles</vt:lpstr>
      <vt:lpstr>'CASH BOOK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 Nicholls</cp:lastModifiedBy>
  <cp:revision/>
  <cp:lastPrinted>2023-08-24T11:56:56Z</cp:lastPrinted>
  <dcterms:created xsi:type="dcterms:W3CDTF">1996-10-14T23:33:28Z</dcterms:created>
  <dcterms:modified xsi:type="dcterms:W3CDTF">2023-08-24T12:07:11Z</dcterms:modified>
</cp:coreProperties>
</file>